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D\OneDrive\OneDrive Documents\SCADA Standard\2022 Developing\"/>
    </mc:Choice>
  </mc:AlternateContent>
  <bookViews>
    <workbookView xWindow="-105" yWindow="-105" windowWidth="23250" windowHeight="12570" tabRatio="865" activeTab="1"/>
  </bookViews>
  <sheets>
    <sheet name="Guide" sheetId="28" r:id="rId1"/>
    <sheet name="BXXPLC1" sheetId="1" r:id="rId2"/>
    <sheet name="BXX Alarms" sheetId="25" r:id="rId3"/>
    <sheet name="BXX Security" sheetId="27" r:id="rId4"/>
    <sheet name="BXX Other Discretes" sheetId="26" r:id="rId5"/>
    <sheet name="BXXDIH1PI1" sheetId="2" r:id="rId6"/>
    <sheet name="BXXDIH1FI1" sheetId="3" r:id="rId7"/>
    <sheet name="BXXDF1LI1" sheetId="4" r:id="rId8"/>
    <sheet name="BXXWW01LI1" sheetId="6" r:id="rId9"/>
    <sheet name="BXXWW02LI1" sheetId="8" r:id="rId10"/>
    <sheet name="BXXBLS1LI1" sheetId="9" r:id="rId11"/>
    <sheet name="BXXBLS2LI1" sheetId="10" r:id="rId12"/>
    <sheet name="BXXOVF1FI1" sheetId="22" r:id="rId13"/>
    <sheet name="BXXSLP1II1" sheetId="11" r:id="rId14"/>
    <sheet name="BXXSLP2II1" sheetId="12" r:id="rId15"/>
    <sheet name="BXXSLP3II1" sheetId="13" r:id="rId16"/>
    <sheet name="BXXSLP4II1" sheetId="14" r:id="rId17"/>
    <sheet name="BXXSLP1DM1" sheetId="15" r:id="rId18"/>
    <sheet name="BXXSLP2VF1" sheetId="17" r:id="rId19"/>
    <sheet name="BXXSLP3DM1" sheetId="16" r:id="rId20"/>
    <sheet name="BXXSLP4VF1" sheetId="18" r:id="rId21"/>
    <sheet name="BXXGEN1DE1" sheetId="21" r:id="rId22"/>
    <sheet name="BXXATS1SG1" sheetId="20" r:id="rId23"/>
    <sheet name="BXXDTY1DP" sheetId="23" r:id="rId24"/>
    <sheet name="BXXDTY1LI" sheetId="24" r:id="rId2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22" l="1"/>
  <c r="M71" i="17" l="1"/>
  <c r="O57" i="22"/>
  <c r="N57" i="22"/>
  <c r="O14" i="27"/>
  <c r="O106" i="25"/>
  <c r="O102" i="25"/>
  <c r="O98" i="25"/>
  <c r="O94" i="25"/>
  <c r="O90" i="25"/>
  <c r="O86" i="25"/>
  <c r="O82" i="25"/>
  <c r="O78" i="25"/>
  <c r="O74" i="25"/>
  <c r="O70" i="25"/>
  <c r="O66" i="25"/>
  <c r="O62" i="25"/>
  <c r="O58" i="25"/>
  <c r="O54" i="25"/>
  <c r="O50" i="25"/>
  <c r="O46" i="25"/>
  <c r="O42" i="25"/>
  <c r="O38" i="25"/>
  <c r="O34" i="25"/>
  <c r="O30" i="25"/>
  <c r="O26" i="25"/>
  <c r="O22" i="25"/>
  <c r="O18" i="25"/>
  <c r="O14" i="25"/>
  <c r="O10" i="25"/>
  <c r="A64" i="22" l="1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T64" i="22"/>
  <c r="AT47" i="22"/>
  <c r="AT46" i="22"/>
  <c r="AT45" i="22"/>
  <c r="AT44" i="22"/>
  <c r="AT43" i="22"/>
  <c r="AT42" i="22"/>
  <c r="AT41" i="22"/>
  <c r="AT40" i="22"/>
  <c r="AT39" i="22"/>
  <c r="AT38" i="22"/>
  <c r="AT37" i="22"/>
  <c r="AT36" i="22"/>
  <c r="AT35" i="22"/>
  <c r="AT34" i="22"/>
  <c r="A31" i="22" l="1"/>
  <c r="A32" i="22"/>
  <c r="K53" i="21" l="1"/>
  <c r="A9" i="14"/>
  <c r="A8" i="14"/>
  <c r="A22" i="14"/>
  <c r="A19" i="14"/>
  <c r="A18" i="14"/>
  <c r="A43" i="12"/>
  <c r="A42" i="12"/>
  <c r="A34" i="12"/>
  <c r="A33" i="12"/>
  <c r="A57" i="22" l="1"/>
  <c r="A40" i="10"/>
  <c r="A32" i="10"/>
  <c r="A43" i="11"/>
  <c r="A42" i="11"/>
  <c r="A34" i="11"/>
  <c r="A33" i="11"/>
  <c r="A62" i="22"/>
  <c r="A61" i="22"/>
  <c r="A50" i="22"/>
  <c r="A49" i="22"/>
  <c r="A45" i="10"/>
  <c r="A44" i="10"/>
  <c r="A35" i="10"/>
  <c r="A34" i="10"/>
  <c r="A52" i="13"/>
  <c r="A51" i="13"/>
  <c r="A50" i="13"/>
  <c r="A52" i="11"/>
  <c r="A51" i="11"/>
  <c r="A50" i="11"/>
  <c r="A71" i="22"/>
  <c r="A70" i="22"/>
  <c r="A54" i="10"/>
  <c r="A53" i="10"/>
  <c r="A52" i="10"/>
  <c r="A54" i="9"/>
  <c r="A53" i="9"/>
  <c r="A52" i="9"/>
  <c r="A45" i="9"/>
  <c r="A44" i="9"/>
  <c r="A35" i="9"/>
  <c r="A34" i="9"/>
  <c r="A40" i="9"/>
  <c r="A32" i="9"/>
  <c r="A40" i="8"/>
  <c r="A32" i="8"/>
  <c r="A45" i="8"/>
  <c r="A44" i="8"/>
  <c r="A35" i="8"/>
  <c r="A34" i="8"/>
  <c r="A36" i="8"/>
  <c r="A31" i="8"/>
  <c r="A30" i="8"/>
  <c r="A22" i="8"/>
  <c r="A19" i="8"/>
  <c r="A18" i="8"/>
  <c r="A9" i="8"/>
  <c r="A8" i="8"/>
  <c r="C40" i="23"/>
  <c r="C39" i="23"/>
  <c r="C38" i="23"/>
  <c r="C32" i="23"/>
  <c r="C26" i="23"/>
  <c r="C25" i="23"/>
  <c r="C24" i="23"/>
  <c r="C23" i="23"/>
  <c r="Q37" i="21"/>
  <c r="Q36" i="21"/>
  <c r="Q35" i="21"/>
  <c r="Q34" i="21"/>
  <c r="Q33" i="21"/>
  <c r="Q32" i="21"/>
  <c r="Q20" i="21"/>
  <c r="A20" i="21"/>
  <c r="Q19" i="21"/>
  <c r="A19" i="21"/>
  <c r="Q18" i="21"/>
  <c r="A18" i="21"/>
  <c r="Q15" i="21"/>
  <c r="A15" i="21"/>
  <c r="Q14" i="21"/>
  <c r="A14" i="21"/>
  <c r="Q13" i="21"/>
  <c r="A13" i="21"/>
  <c r="Q12" i="21"/>
  <c r="A12" i="21"/>
  <c r="Q52" i="18"/>
  <c r="Q51" i="18"/>
  <c r="Q50" i="18"/>
  <c r="Q49" i="18"/>
  <c r="Q48" i="18"/>
  <c r="Q47" i="18"/>
  <c r="Q46" i="18"/>
  <c r="Q45" i="18"/>
  <c r="Q43" i="18"/>
  <c r="A43" i="18"/>
  <c r="Q40" i="18"/>
  <c r="A40" i="18"/>
  <c r="Q26" i="18"/>
  <c r="A26" i="18"/>
  <c r="Q25" i="18"/>
  <c r="A25" i="18"/>
  <c r="Q24" i="18"/>
  <c r="A24" i="18"/>
  <c r="Q23" i="18"/>
  <c r="A23" i="18"/>
  <c r="Q15" i="18"/>
  <c r="A15" i="18"/>
  <c r="Q14" i="18"/>
  <c r="A14" i="18"/>
  <c r="Q13" i="18"/>
  <c r="A13" i="18"/>
  <c r="Q12" i="18"/>
  <c r="A12" i="18"/>
  <c r="Q11" i="18"/>
  <c r="A11" i="18"/>
  <c r="Q48" i="16"/>
  <c r="Q47" i="16"/>
  <c r="Q46" i="16"/>
  <c r="Q45" i="16"/>
  <c r="Q44" i="16"/>
  <c r="Q43" i="16"/>
  <c r="Q42" i="16"/>
  <c r="Q41" i="16"/>
  <c r="Q40" i="16"/>
  <c r="Q39" i="16"/>
  <c r="Q38" i="16"/>
  <c r="Q37" i="16"/>
  <c r="Q25" i="16"/>
  <c r="A25" i="16"/>
  <c r="Q24" i="16"/>
  <c r="A24" i="16"/>
  <c r="Q23" i="16"/>
  <c r="A23" i="16"/>
  <c r="Q22" i="16"/>
  <c r="A22" i="16"/>
  <c r="Q14" i="16"/>
  <c r="A14" i="16"/>
  <c r="Q13" i="16"/>
  <c r="A13" i="16"/>
  <c r="Q12" i="16"/>
  <c r="A12" i="16"/>
  <c r="Q11" i="16"/>
  <c r="A11" i="16"/>
  <c r="Q10" i="16"/>
  <c r="A10" i="16"/>
  <c r="Q52" i="17"/>
  <c r="Q51" i="17"/>
  <c r="Q50" i="17"/>
  <c r="Q49" i="17"/>
  <c r="Q48" i="17"/>
  <c r="Q47" i="17"/>
  <c r="Q46" i="17"/>
  <c r="Q45" i="17"/>
  <c r="Q43" i="17"/>
  <c r="A43" i="17"/>
  <c r="Q40" i="17"/>
  <c r="A40" i="17"/>
  <c r="Q26" i="17"/>
  <c r="A26" i="17"/>
  <c r="Q25" i="17"/>
  <c r="A25" i="17"/>
  <c r="Q24" i="17"/>
  <c r="A24" i="17"/>
  <c r="Q23" i="17"/>
  <c r="A23" i="17"/>
  <c r="Q15" i="17"/>
  <c r="A15" i="17"/>
  <c r="Q14" i="17"/>
  <c r="A14" i="17"/>
  <c r="Q13" i="17"/>
  <c r="A13" i="17"/>
  <c r="Q12" i="17"/>
  <c r="A12" i="17"/>
  <c r="Q11" i="17"/>
  <c r="A11" i="17"/>
  <c r="Q48" i="15"/>
  <c r="Q47" i="15"/>
  <c r="Q46" i="15"/>
  <c r="Q45" i="15"/>
  <c r="Q44" i="15"/>
  <c r="Q43" i="15"/>
  <c r="Q42" i="15"/>
  <c r="Q41" i="15"/>
  <c r="Q40" i="15"/>
  <c r="Q39" i="15"/>
  <c r="Q38" i="15"/>
  <c r="Q37" i="15"/>
  <c r="Q25" i="15"/>
  <c r="A25" i="15"/>
  <c r="Q24" i="15"/>
  <c r="A24" i="15"/>
  <c r="Q23" i="15"/>
  <c r="A23" i="15"/>
  <c r="Q22" i="15"/>
  <c r="A22" i="15"/>
  <c r="Q14" i="15"/>
  <c r="A14" i="15"/>
  <c r="Q13" i="15"/>
  <c r="A13" i="15"/>
  <c r="Q12" i="15"/>
  <c r="A12" i="15"/>
  <c r="Q11" i="15"/>
  <c r="A11" i="15"/>
  <c r="Q10" i="15"/>
  <c r="A10" i="15"/>
  <c r="Q22" i="14"/>
  <c r="Q19" i="14"/>
  <c r="Q18" i="14"/>
  <c r="Q9" i="14"/>
  <c r="Q8" i="14"/>
  <c r="Q22" i="13"/>
  <c r="A22" i="13"/>
  <c r="Q19" i="13"/>
  <c r="A19" i="13"/>
  <c r="Q18" i="13"/>
  <c r="A18" i="13"/>
  <c r="Q9" i="13"/>
  <c r="A9" i="13"/>
  <c r="Q8" i="13"/>
  <c r="A8" i="13"/>
  <c r="Q22" i="12"/>
  <c r="A22" i="12"/>
  <c r="Q19" i="12"/>
  <c r="A19" i="12"/>
  <c r="Q18" i="12"/>
  <c r="A18" i="12"/>
  <c r="Q9" i="12"/>
  <c r="A9" i="12"/>
  <c r="Q8" i="12"/>
  <c r="A8" i="12"/>
  <c r="Q22" i="11"/>
  <c r="A22" i="11"/>
  <c r="Q19" i="11"/>
  <c r="A19" i="11"/>
  <c r="Q18" i="11"/>
  <c r="A18" i="11"/>
  <c r="Q9" i="11"/>
  <c r="A9" i="11"/>
  <c r="Q8" i="11"/>
  <c r="A8" i="11"/>
  <c r="C53" i="22"/>
  <c r="C52" i="22"/>
  <c r="C46" i="22"/>
  <c r="C37" i="22"/>
  <c r="Q28" i="22"/>
  <c r="A28" i="22"/>
  <c r="Q22" i="22"/>
  <c r="A22" i="22"/>
  <c r="Q19" i="22"/>
  <c r="A19" i="22"/>
  <c r="Q18" i="22"/>
  <c r="A18" i="22"/>
  <c r="Q9" i="22"/>
  <c r="A9" i="22"/>
  <c r="Q8" i="22"/>
  <c r="A8" i="22"/>
  <c r="Q22" i="10"/>
  <c r="A22" i="10"/>
  <c r="Q19" i="10"/>
  <c r="A19" i="10"/>
  <c r="Q18" i="10"/>
  <c r="A18" i="10"/>
  <c r="Q9" i="10"/>
  <c r="A9" i="10"/>
  <c r="Q8" i="10"/>
  <c r="A8" i="10"/>
  <c r="Q22" i="9"/>
  <c r="A22" i="9"/>
  <c r="Q19" i="9"/>
  <c r="A19" i="9"/>
  <c r="Q18" i="9"/>
  <c r="A18" i="9"/>
  <c r="Q9" i="9"/>
  <c r="A9" i="9"/>
  <c r="Q8" i="9"/>
  <c r="A8" i="9"/>
  <c r="Q22" i="8"/>
  <c r="Q19" i="8"/>
  <c r="Q18" i="8"/>
  <c r="Q9" i="8"/>
  <c r="Q8" i="8"/>
  <c r="Q22" i="6"/>
  <c r="A22" i="6"/>
  <c r="Q19" i="6"/>
  <c r="A19" i="6"/>
  <c r="Q18" i="6"/>
  <c r="A18" i="6"/>
  <c r="Q9" i="6"/>
  <c r="A9" i="6"/>
  <c r="Q8" i="6"/>
  <c r="A8" i="6"/>
  <c r="Q22" i="4"/>
  <c r="A22" i="4"/>
  <c r="Q19" i="4"/>
  <c r="A19" i="4"/>
  <c r="Q18" i="4"/>
  <c r="A18" i="4"/>
  <c r="Q9" i="4"/>
  <c r="A9" i="4"/>
  <c r="Q8" i="4"/>
  <c r="A8" i="4"/>
  <c r="Q22" i="3"/>
  <c r="A22" i="3"/>
  <c r="Q19" i="3"/>
  <c r="A19" i="3"/>
  <c r="Q18" i="3"/>
  <c r="A18" i="3"/>
  <c r="Q9" i="3"/>
  <c r="A9" i="3"/>
  <c r="Q8" i="3"/>
  <c r="A8" i="3"/>
  <c r="Q22" i="2"/>
  <c r="A22" i="2"/>
  <c r="Q19" i="2"/>
  <c r="A19" i="2"/>
  <c r="Q18" i="2"/>
  <c r="A18" i="2"/>
  <c r="Q9" i="2"/>
  <c r="A9" i="2"/>
  <c r="Q8" i="2"/>
  <c r="A8" i="2"/>
  <c r="C37" i="1"/>
  <c r="C36" i="1"/>
  <c r="C35" i="1"/>
  <c r="C34" i="1"/>
  <c r="C33" i="1"/>
  <c r="C32" i="1"/>
  <c r="C31" i="1"/>
  <c r="C28" i="1"/>
  <c r="C27" i="1"/>
  <c r="A24" i="1"/>
  <c r="A23" i="1"/>
  <c r="C18" i="1"/>
  <c r="A16" i="1"/>
  <c r="A15" i="1"/>
  <c r="A14" i="1"/>
  <c r="A13" i="1"/>
  <c r="A12" i="1"/>
  <c r="A11" i="1"/>
  <c r="C40" i="1"/>
  <c r="C39" i="1"/>
  <c r="C38" i="1"/>
  <c r="C37" i="3"/>
  <c r="C36" i="3"/>
  <c r="Q52" i="15"/>
  <c r="Q51" i="15"/>
  <c r="Q50" i="15"/>
  <c r="Q49" i="15"/>
  <c r="Q59" i="17"/>
  <c r="Q58" i="17"/>
  <c r="Q57" i="17"/>
  <c r="Q56" i="17"/>
  <c r="Q55" i="17"/>
  <c r="Q54" i="17"/>
  <c r="Q53" i="17"/>
  <c r="Q52" i="16"/>
  <c r="Q51" i="16"/>
  <c r="Q50" i="16"/>
  <c r="Q49" i="16"/>
  <c r="Q59" i="18"/>
  <c r="Q58" i="18"/>
  <c r="Q57" i="18"/>
  <c r="Q56" i="18"/>
  <c r="Q55" i="18"/>
  <c r="Q54" i="18"/>
  <c r="Q53" i="18"/>
  <c r="Q41" i="21"/>
  <c r="A41" i="21"/>
  <c r="Q40" i="21"/>
  <c r="Q39" i="21"/>
  <c r="Q38" i="21"/>
  <c r="Q26" i="20"/>
  <c r="Q25" i="20"/>
  <c r="Q24" i="20"/>
  <c r="Q15" i="20"/>
  <c r="A15" i="20"/>
  <c r="Q14" i="20"/>
  <c r="A14" i="20"/>
  <c r="Q9" i="20"/>
  <c r="A9" i="20"/>
  <c r="B3" i="8"/>
  <c r="B3" i="6"/>
  <c r="A52" i="12"/>
  <c r="A51" i="12"/>
  <c r="A50" i="12"/>
  <c r="A44" i="12"/>
  <c r="A41" i="12"/>
  <c r="A40" i="12"/>
  <c r="A39" i="12"/>
  <c r="A38" i="12"/>
  <c r="A37" i="12"/>
  <c r="A36" i="12"/>
  <c r="A43" i="13"/>
  <c r="A42" i="13"/>
  <c r="A34" i="13"/>
  <c r="A33" i="13"/>
  <c r="A34" i="14"/>
  <c r="A33" i="14"/>
  <c r="A43" i="14"/>
  <c r="A42" i="14"/>
  <c r="A76" i="17"/>
  <c r="AT42" i="14"/>
  <c r="AT34" i="14"/>
  <c r="AT33" i="14"/>
  <c r="AT42" i="13"/>
  <c r="AT34" i="13"/>
  <c r="AT33" i="13"/>
  <c r="AT42" i="12"/>
  <c r="AT34" i="12"/>
  <c r="AT33" i="12"/>
  <c r="AT42" i="11"/>
  <c r="AT34" i="11"/>
  <c r="AT33" i="11"/>
  <c r="AT62" i="22"/>
  <c r="AT61" i="22"/>
  <c r="AT50" i="22"/>
  <c r="AT49" i="22"/>
  <c r="AT44" i="10"/>
  <c r="AT35" i="10"/>
  <c r="AT34" i="10"/>
  <c r="AT44" i="9"/>
  <c r="AT35" i="9"/>
  <c r="AT34" i="9"/>
  <c r="AT44" i="8"/>
  <c r="AT35" i="8"/>
  <c r="AT34" i="8"/>
  <c r="A45" i="6"/>
  <c r="AT44" i="6"/>
  <c r="A44" i="6"/>
  <c r="AT35" i="6"/>
  <c r="A35" i="6"/>
  <c r="AT34" i="6"/>
  <c r="A34" i="6"/>
  <c r="A43" i="4"/>
  <c r="AT42" i="4"/>
  <c r="A42" i="4"/>
  <c r="AT34" i="4"/>
  <c r="A34" i="4"/>
  <c r="AT33" i="4"/>
  <c r="A33" i="4"/>
  <c r="A45" i="3"/>
  <c r="AT44" i="3"/>
  <c r="A44" i="3"/>
  <c r="AT34" i="3"/>
  <c r="A34" i="3"/>
  <c r="AT33" i="3"/>
  <c r="A33" i="3"/>
  <c r="A43" i="2"/>
  <c r="AT42" i="2"/>
  <c r="A42" i="2"/>
  <c r="AT34" i="2"/>
  <c r="A34" i="2"/>
  <c r="AT33" i="2"/>
  <c r="A33" i="2"/>
  <c r="AT31" i="1"/>
  <c r="A31" i="1"/>
  <c r="AT28" i="1"/>
  <c r="A28" i="1"/>
  <c r="AT43" i="2"/>
  <c r="AT45" i="3"/>
  <c r="AT43" i="4"/>
  <c r="AT45" i="6"/>
  <c r="AT45" i="8"/>
  <c r="AT45" i="9"/>
  <c r="AT45" i="10"/>
  <c r="AT43" i="11"/>
  <c r="AT43" i="12"/>
  <c r="AT43" i="13"/>
  <c r="AT43" i="14"/>
  <c r="AT76" i="17"/>
  <c r="AT76" i="18"/>
  <c r="A76" i="18"/>
  <c r="A70" i="17"/>
  <c r="A77" i="18"/>
  <c r="A75" i="18"/>
  <c r="A74" i="18"/>
  <c r="A73" i="18"/>
  <c r="A71" i="18"/>
  <c r="AT66" i="23"/>
  <c r="A66" i="23"/>
  <c r="AT65" i="23"/>
  <c r="A65" i="23"/>
  <c r="AT62" i="23"/>
  <c r="A62" i="23"/>
  <c r="AT61" i="23"/>
  <c r="A61" i="23"/>
  <c r="AT50" i="23"/>
  <c r="A50" i="23"/>
  <c r="AT49" i="23"/>
  <c r="A49" i="23"/>
  <c r="AT48" i="23"/>
  <c r="A48" i="23"/>
  <c r="AT47" i="23"/>
  <c r="A47" i="23"/>
  <c r="AT46" i="23"/>
  <c r="A46" i="23"/>
  <c r="AT45" i="23"/>
  <c r="A45" i="23"/>
  <c r="AT44" i="23"/>
  <c r="A44" i="23"/>
  <c r="AT43" i="23"/>
  <c r="A43" i="23"/>
  <c r="AT41" i="23"/>
  <c r="A41" i="23"/>
  <c r="AT40" i="23"/>
  <c r="A40" i="23"/>
  <c r="AT39" i="23"/>
  <c r="A39" i="23"/>
  <c r="AT38" i="23"/>
  <c r="A38" i="23"/>
  <c r="AT37" i="23"/>
  <c r="A37" i="23"/>
  <c r="AT36" i="23"/>
  <c r="A36" i="23"/>
  <c r="AT35" i="23"/>
  <c r="A35" i="23"/>
  <c r="AT34" i="23"/>
  <c r="A34" i="23"/>
  <c r="AT33" i="23"/>
  <c r="A33" i="23"/>
  <c r="AT77" i="18"/>
  <c r="AT75" i="18"/>
  <c r="AT74" i="18"/>
  <c r="AT73" i="18"/>
  <c r="AT71" i="18"/>
  <c r="AT77" i="17"/>
  <c r="A77" i="17"/>
  <c r="AT75" i="17"/>
  <c r="A75" i="17"/>
  <c r="AT74" i="17"/>
  <c r="A74" i="17"/>
  <c r="AT73" i="17"/>
  <c r="A73" i="17"/>
  <c r="AT71" i="17"/>
  <c r="A71" i="17"/>
  <c r="AT40" i="14"/>
  <c r="A40" i="14"/>
  <c r="AT39" i="14"/>
  <c r="A39" i="14"/>
  <c r="AT38" i="14"/>
  <c r="A38" i="14"/>
  <c r="AT37" i="14"/>
  <c r="A37" i="14"/>
  <c r="AT36" i="14"/>
  <c r="A36" i="14"/>
  <c r="AT40" i="13"/>
  <c r="A40" i="13"/>
  <c r="AT39" i="13"/>
  <c r="A39" i="13"/>
  <c r="AT38" i="13"/>
  <c r="A38" i="13"/>
  <c r="AT37" i="13"/>
  <c r="A37" i="13"/>
  <c r="AT36" i="13"/>
  <c r="A36" i="13"/>
  <c r="AT40" i="12"/>
  <c r="AT39" i="12"/>
  <c r="AT38" i="12"/>
  <c r="AT37" i="12"/>
  <c r="AT36" i="12"/>
  <c r="AT40" i="11"/>
  <c r="A40" i="11"/>
  <c r="AT39" i="11"/>
  <c r="A39" i="11"/>
  <c r="AT38" i="11"/>
  <c r="A38" i="11"/>
  <c r="AT37" i="11"/>
  <c r="A37" i="11"/>
  <c r="AT36" i="11"/>
  <c r="A36" i="11"/>
  <c r="AT59" i="22"/>
  <c r="A59" i="22"/>
  <c r="AT58" i="22"/>
  <c r="A58" i="22"/>
  <c r="AT56" i="22"/>
  <c r="A56" i="22"/>
  <c r="AT55" i="22"/>
  <c r="A55" i="22"/>
  <c r="AT54" i="22"/>
  <c r="A54" i="22"/>
  <c r="AT42" i="10"/>
  <c r="A42" i="10"/>
  <c r="AT41" i="10"/>
  <c r="A41" i="10"/>
  <c r="AT39" i="10"/>
  <c r="A39" i="10"/>
  <c r="AT38" i="10"/>
  <c r="A38" i="10"/>
  <c r="AT37" i="10"/>
  <c r="A37" i="10"/>
  <c r="AT42" i="9"/>
  <c r="A42" i="9"/>
  <c r="AT41" i="9"/>
  <c r="A41" i="9"/>
  <c r="AT39" i="9"/>
  <c r="A39" i="9"/>
  <c r="AT38" i="9"/>
  <c r="A38" i="9"/>
  <c r="AT37" i="9"/>
  <c r="A37" i="9"/>
  <c r="AT42" i="8"/>
  <c r="A42" i="8"/>
  <c r="AT41" i="8"/>
  <c r="A41" i="8"/>
  <c r="AT39" i="8"/>
  <c r="A39" i="8"/>
  <c r="AT38" i="8"/>
  <c r="A38" i="8"/>
  <c r="AT37" i="8"/>
  <c r="A37" i="8"/>
  <c r="AT42" i="6"/>
  <c r="A42" i="6"/>
  <c r="AT41" i="6"/>
  <c r="A41" i="6"/>
  <c r="AT39" i="6"/>
  <c r="A39" i="6"/>
  <c r="AT38" i="6"/>
  <c r="A38" i="6"/>
  <c r="AT37" i="6"/>
  <c r="A37" i="6"/>
  <c r="AT40" i="4"/>
  <c r="A40" i="4"/>
  <c r="AT39" i="4"/>
  <c r="A39" i="4"/>
  <c r="AT38" i="4"/>
  <c r="A38" i="4"/>
  <c r="AT37" i="4"/>
  <c r="A37" i="4"/>
  <c r="AT36" i="4"/>
  <c r="A36" i="4"/>
  <c r="AT42" i="3"/>
  <c r="A42" i="3"/>
  <c r="AT41" i="3"/>
  <c r="A41" i="3"/>
  <c r="AT40" i="3"/>
  <c r="A40" i="3"/>
  <c r="AT39" i="3"/>
  <c r="A39" i="3"/>
  <c r="AT38" i="3"/>
  <c r="A38" i="3"/>
  <c r="AT40" i="2"/>
  <c r="A40" i="2"/>
  <c r="AT39" i="2"/>
  <c r="A39" i="2"/>
  <c r="AT38" i="2"/>
  <c r="A38" i="2"/>
  <c r="AT37" i="2"/>
  <c r="A37" i="2"/>
  <c r="AT36" i="2"/>
  <c r="A36" i="2"/>
  <c r="AT39" i="1"/>
  <c r="A39" i="1"/>
  <c r="AT38" i="1"/>
  <c r="A38" i="1"/>
  <c r="AT37" i="1"/>
  <c r="A37" i="1"/>
  <c r="AT36" i="1"/>
  <c r="A36" i="1"/>
  <c r="AT40" i="1"/>
  <c r="A40" i="1"/>
  <c r="AT44" i="2"/>
  <c r="A44" i="2"/>
  <c r="AT41" i="2"/>
  <c r="A41" i="2"/>
  <c r="AT46" i="3"/>
  <c r="A46" i="3"/>
  <c r="AT43" i="3"/>
  <c r="A43" i="3"/>
  <c r="AT44" i="4"/>
  <c r="A44" i="4"/>
  <c r="AT41" i="4"/>
  <c r="A41" i="4"/>
  <c r="AT46" i="6"/>
  <c r="A46" i="6"/>
  <c r="AT43" i="6"/>
  <c r="A43" i="6"/>
  <c r="AT46" i="8"/>
  <c r="A46" i="8"/>
  <c r="AT43" i="8"/>
  <c r="A43" i="8"/>
  <c r="AT46" i="9"/>
  <c r="A46" i="9"/>
  <c r="AT43" i="9"/>
  <c r="A43" i="9"/>
  <c r="AT46" i="10"/>
  <c r="A46" i="10"/>
  <c r="AT43" i="10"/>
  <c r="A43" i="10"/>
  <c r="AT63" i="22"/>
  <c r="A63" i="22"/>
  <c r="AT60" i="22"/>
  <c r="A60" i="22"/>
  <c r="AT44" i="11"/>
  <c r="A44" i="11"/>
  <c r="AT41" i="11"/>
  <c r="A41" i="11"/>
  <c r="AT44" i="12"/>
  <c r="AT41" i="12"/>
  <c r="AT44" i="13"/>
  <c r="A44" i="13"/>
  <c r="AT41" i="13"/>
  <c r="A41" i="13"/>
  <c r="AT44" i="14"/>
  <c r="A44" i="14"/>
  <c r="AT41" i="14"/>
  <c r="A41" i="14"/>
  <c r="AT7" i="24"/>
  <c r="A7" i="24"/>
  <c r="AT8" i="24"/>
  <c r="A8" i="24"/>
  <c r="A64" i="23"/>
  <c r="A63" i="23"/>
  <c r="A60" i="23"/>
  <c r="A59" i="23"/>
  <c r="A58" i="23"/>
  <c r="A57" i="23"/>
  <c r="A56" i="23"/>
  <c r="A55" i="23"/>
  <c r="A54" i="23"/>
  <c r="A53" i="23"/>
  <c r="A52" i="23"/>
  <c r="A51" i="23"/>
  <c r="A32" i="23"/>
  <c r="A31" i="23"/>
  <c r="A30" i="23"/>
  <c r="A29" i="23"/>
  <c r="A28" i="23"/>
  <c r="A28" i="20"/>
  <c r="A43" i="21"/>
  <c r="A72" i="18"/>
  <c r="A69" i="18"/>
  <c r="A67" i="18"/>
  <c r="A66" i="18"/>
  <c r="A59" i="16"/>
  <c r="A72" i="17"/>
  <c r="A69" i="17"/>
  <c r="A67" i="17"/>
  <c r="A66" i="17"/>
  <c r="A59" i="15"/>
  <c r="A35" i="14"/>
  <c r="A31" i="14"/>
  <c r="A30" i="14"/>
  <c r="A35" i="13"/>
  <c r="A31" i="13"/>
  <c r="A30" i="13"/>
  <c r="A35" i="12"/>
  <c r="A31" i="12"/>
  <c r="A30" i="12"/>
  <c r="A35" i="11"/>
  <c r="A31" i="11"/>
  <c r="A30" i="11"/>
  <c r="A53" i="22"/>
  <c r="A52" i="22"/>
  <c r="A51" i="22"/>
  <c r="A31" i="10"/>
  <c r="A30" i="10"/>
  <c r="A36" i="10"/>
  <c r="A31" i="9"/>
  <c r="A30" i="9"/>
  <c r="A36" i="9"/>
  <c r="A5" i="24"/>
  <c r="Q5" i="24"/>
  <c r="A25" i="23"/>
  <c r="A24" i="23"/>
  <c r="A35" i="20"/>
  <c r="A34" i="20"/>
  <c r="A33" i="20"/>
  <c r="A26" i="20"/>
  <c r="A25" i="20"/>
  <c r="A24" i="20"/>
  <c r="A23" i="20"/>
  <c r="A22" i="20"/>
  <c r="A21" i="20"/>
  <c r="A20" i="20"/>
  <c r="A19" i="20"/>
  <c r="A18" i="20"/>
  <c r="A17" i="20"/>
  <c r="A16" i="20"/>
  <c r="A13" i="20"/>
  <c r="A12" i="20"/>
  <c r="A11" i="20"/>
  <c r="A10" i="20"/>
  <c r="A53" i="21"/>
  <c r="A52" i="21"/>
  <c r="A51" i="21"/>
  <c r="A50" i="21"/>
  <c r="A49" i="21"/>
  <c r="A48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17" i="21"/>
  <c r="A16" i="21"/>
  <c r="A91" i="18"/>
  <c r="A90" i="18"/>
  <c r="A89" i="18"/>
  <c r="A88" i="18"/>
  <c r="A87" i="18"/>
  <c r="A86" i="18"/>
  <c r="A59" i="18"/>
  <c r="A58" i="18"/>
  <c r="A57" i="18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2" i="18"/>
  <c r="A41" i="18"/>
  <c r="A39" i="18"/>
  <c r="A37" i="18"/>
  <c r="A36" i="18"/>
  <c r="A35" i="18"/>
  <c r="A34" i="18"/>
  <c r="A33" i="18"/>
  <c r="A32" i="18"/>
  <c r="A31" i="18"/>
  <c r="A30" i="18"/>
  <c r="A22" i="18"/>
  <c r="A21" i="18"/>
  <c r="A20" i="18"/>
  <c r="A19" i="18"/>
  <c r="A18" i="18"/>
  <c r="A72" i="16"/>
  <c r="A71" i="16"/>
  <c r="A70" i="16"/>
  <c r="A69" i="16"/>
  <c r="A68" i="16"/>
  <c r="A67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1" i="16"/>
  <c r="A20" i="16"/>
  <c r="A19" i="16"/>
  <c r="A18" i="16"/>
  <c r="A17" i="16"/>
  <c r="A91" i="17"/>
  <c r="A90" i="17"/>
  <c r="A89" i="17"/>
  <c r="A88" i="17"/>
  <c r="A87" i="17"/>
  <c r="A86" i="17"/>
  <c r="A59" i="17"/>
  <c r="A58" i="17"/>
  <c r="A57" i="17"/>
  <c r="A56" i="17"/>
  <c r="A55" i="17"/>
  <c r="A54" i="17"/>
  <c r="A53" i="17"/>
  <c r="A52" i="17"/>
  <c r="A51" i="17"/>
  <c r="A50" i="17"/>
  <c r="A49" i="17"/>
  <c r="A48" i="17"/>
  <c r="A47" i="17"/>
  <c r="A46" i="17"/>
  <c r="A45" i="17"/>
  <c r="A44" i="17"/>
  <c r="A42" i="17"/>
  <c r="A41" i="17"/>
  <c r="A39" i="17"/>
  <c r="A37" i="17"/>
  <c r="A36" i="17"/>
  <c r="A35" i="17"/>
  <c r="A34" i="17"/>
  <c r="A33" i="17"/>
  <c r="A32" i="17"/>
  <c r="A31" i="17"/>
  <c r="A30" i="17"/>
  <c r="A22" i="17"/>
  <c r="A21" i="17"/>
  <c r="A20" i="17"/>
  <c r="A19" i="17"/>
  <c r="A18" i="17"/>
  <c r="A72" i="15"/>
  <c r="A71" i="15"/>
  <c r="A70" i="15"/>
  <c r="A69" i="15"/>
  <c r="A68" i="15"/>
  <c r="A67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1" i="15"/>
  <c r="A20" i="15"/>
  <c r="A19" i="15"/>
  <c r="A18" i="15"/>
  <c r="A17" i="15"/>
  <c r="A52" i="14"/>
  <c r="A51" i="14"/>
  <c r="A50" i="14"/>
  <c r="A28" i="14"/>
  <c r="A27" i="14"/>
  <c r="A26" i="14"/>
  <c r="A25" i="14"/>
  <c r="A24" i="14"/>
  <c r="A23" i="14"/>
  <c r="A21" i="14"/>
  <c r="A20" i="14"/>
  <c r="A17" i="14"/>
  <c r="A16" i="14"/>
  <c r="A15" i="14"/>
  <c r="A14" i="14"/>
  <c r="A13" i="14"/>
  <c r="A12" i="14"/>
  <c r="A11" i="14"/>
  <c r="A10" i="14"/>
  <c r="A28" i="13"/>
  <c r="A27" i="13"/>
  <c r="A26" i="13"/>
  <c r="A25" i="13"/>
  <c r="A24" i="13"/>
  <c r="A23" i="13"/>
  <c r="A21" i="13"/>
  <c r="A20" i="13"/>
  <c r="A17" i="13"/>
  <c r="A16" i="13"/>
  <c r="A15" i="13"/>
  <c r="A14" i="13"/>
  <c r="A13" i="13"/>
  <c r="A12" i="13"/>
  <c r="A11" i="13"/>
  <c r="A10" i="13"/>
  <c r="A28" i="12"/>
  <c r="A27" i="12"/>
  <c r="A26" i="12"/>
  <c r="A25" i="12"/>
  <c r="A24" i="12"/>
  <c r="A23" i="12"/>
  <c r="A21" i="12"/>
  <c r="A20" i="12"/>
  <c r="A17" i="12"/>
  <c r="A16" i="12"/>
  <c r="A15" i="12"/>
  <c r="A14" i="12"/>
  <c r="A13" i="12"/>
  <c r="A12" i="12"/>
  <c r="A11" i="12"/>
  <c r="A10" i="12"/>
  <c r="A28" i="11"/>
  <c r="A27" i="11"/>
  <c r="A26" i="11"/>
  <c r="A25" i="11"/>
  <c r="A24" i="11"/>
  <c r="A23" i="11"/>
  <c r="A21" i="11"/>
  <c r="A20" i="11"/>
  <c r="A17" i="11"/>
  <c r="A16" i="11"/>
  <c r="A15" i="11"/>
  <c r="A14" i="11"/>
  <c r="A13" i="11"/>
  <c r="A12" i="11"/>
  <c r="A11" i="11"/>
  <c r="A10" i="11"/>
  <c r="A29" i="22"/>
  <c r="A26" i="22"/>
  <c r="A25" i="22"/>
  <c r="A24" i="22"/>
  <c r="A23" i="22"/>
  <c r="A21" i="22"/>
  <c r="A20" i="22"/>
  <c r="A17" i="22"/>
  <c r="A16" i="22"/>
  <c r="A15" i="22"/>
  <c r="A14" i="22"/>
  <c r="A13" i="22"/>
  <c r="A12" i="22"/>
  <c r="A11" i="22"/>
  <c r="A10" i="22"/>
  <c r="A28" i="10"/>
  <c r="A27" i="10"/>
  <c r="A26" i="10"/>
  <c r="A25" i="10"/>
  <c r="A24" i="10"/>
  <c r="A23" i="10"/>
  <c r="A21" i="10"/>
  <c r="A20" i="10"/>
  <c r="A17" i="10"/>
  <c r="A16" i="10"/>
  <c r="A15" i="10"/>
  <c r="A14" i="10"/>
  <c r="A13" i="10"/>
  <c r="A12" i="10"/>
  <c r="A11" i="10"/>
  <c r="A10" i="10"/>
  <c r="A28" i="9"/>
  <c r="A27" i="9"/>
  <c r="A26" i="9"/>
  <c r="A25" i="9"/>
  <c r="A24" i="9"/>
  <c r="A23" i="9"/>
  <c r="A21" i="9"/>
  <c r="A20" i="9"/>
  <c r="A17" i="9"/>
  <c r="A16" i="9"/>
  <c r="A15" i="9"/>
  <c r="A14" i="9"/>
  <c r="A13" i="9"/>
  <c r="A12" i="9"/>
  <c r="A11" i="9"/>
  <c r="A10" i="9"/>
  <c r="A54" i="8"/>
  <c r="A53" i="8"/>
  <c r="A52" i="8"/>
  <c r="A28" i="8"/>
  <c r="A27" i="8"/>
  <c r="A26" i="8"/>
  <c r="A25" i="8"/>
  <c r="A24" i="8"/>
  <c r="A23" i="8"/>
  <c r="A21" i="8"/>
  <c r="A20" i="8"/>
  <c r="A17" i="8"/>
  <c r="A16" i="8"/>
  <c r="A15" i="8"/>
  <c r="A14" i="8"/>
  <c r="A13" i="8"/>
  <c r="A12" i="8"/>
  <c r="A11" i="8"/>
  <c r="A10" i="8"/>
  <c r="A26" i="23"/>
  <c r="A23" i="23"/>
  <c r="A30" i="20"/>
  <c r="A8" i="20"/>
  <c r="A7" i="20"/>
  <c r="A6" i="20"/>
  <c r="A45" i="21"/>
  <c r="A11" i="21"/>
  <c r="A10" i="21"/>
  <c r="A9" i="21"/>
  <c r="A80" i="18"/>
  <c r="A79" i="18"/>
  <c r="A38" i="18"/>
  <c r="A29" i="18"/>
  <c r="A28" i="18"/>
  <c r="A27" i="18"/>
  <c r="A17" i="18"/>
  <c r="A16" i="18"/>
  <c r="A10" i="18"/>
  <c r="A9" i="18"/>
  <c r="A8" i="18"/>
  <c r="A61" i="16"/>
  <c r="A28" i="16"/>
  <c r="A27" i="16"/>
  <c r="A26" i="16"/>
  <c r="A16" i="16"/>
  <c r="A15" i="16"/>
  <c r="A9" i="16"/>
  <c r="A8" i="16"/>
  <c r="A7" i="16"/>
  <c r="A80" i="17"/>
  <c r="A79" i="17"/>
  <c r="A38" i="17"/>
  <c r="A29" i="17"/>
  <c r="A28" i="17"/>
  <c r="A27" i="17"/>
  <c r="A17" i="17"/>
  <c r="A16" i="17"/>
  <c r="A10" i="17"/>
  <c r="A9" i="17"/>
  <c r="A8" i="17"/>
  <c r="A61" i="15"/>
  <c r="A28" i="15"/>
  <c r="A27" i="15"/>
  <c r="A26" i="15"/>
  <c r="A16" i="15"/>
  <c r="A15" i="15"/>
  <c r="A9" i="15"/>
  <c r="A8" i="15"/>
  <c r="A7" i="15"/>
  <c r="A46" i="14"/>
  <c r="A7" i="14"/>
  <c r="A6" i="14"/>
  <c r="A46" i="13"/>
  <c r="A7" i="13"/>
  <c r="A6" i="13"/>
  <c r="A46" i="12"/>
  <c r="A7" i="12"/>
  <c r="A6" i="12"/>
  <c r="A46" i="11"/>
  <c r="A7" i="11"/>
  <c r="A6" i="11"/>
  <c r="A66" i="22"/>
  <c r="A27" i="22"/>
  <c r="A7" i="22"/>
  <c r="A6" i="22"/>
  <c r="A48" i="10"/>
  <c r="A7" i="10"/>
  <c r="A6" i="10"/>
  <c r="A48" i="9"/>
  <c r="A7" i="9"/>
  <c r="A6" i="9"/>
  <c r="A48" i="8"/>
  <c r="A7" i="8"/>
  <c r="A6" i="8"/>
  <c r="A48" i="6"/>
  <c r="A7" i="6"/>
  <c r="A6" i="6"/>
  <c r="A40" i="6"/>
  <c r="A32" i="6"/>
  <c r="A54" i="6"/>
  <c r="A53" i="6"/>
  <c r="A52" i="6"/>
  <c r="A28" i="6"/>
  <c r="A27" i="6"/>
  <c r="A26" i="6"/>
  <c r="A25" i="6"/>
  <c r="A24" i="6"/>
  <c r="A23" i="6"/>
  <c r="A21" i="6"/>
  <c r="A20" i="6"/>
  <c r="A17" i="6"/>
  <c r="A16" i="6"/>
  <c r="A15" i="6"/>
  <c r="A14" i="6"/>
  <c r="A13" i="6"/>
  <c r="A12" i="6"/>
  <c r="A11" i="6"/>
  <c r="A10" i="6"/>
  <c r="A36" i="6"/>
  <c r="A31" i="6"/>
  <c r="A30" i="6"/>
  <c r="A35" i="4"/>
  <c r="A31" i="4"/>
  <c r="A30" i="4"/>
  <c r="A52" i="4"/>
  <c r="A51" i="4"/>
  <c r="A50" i="4"/>
  <c r="A28" i="4"/>
  <c r="A27" i="4"/>
  <c r="A26" i="4"/>
  <c r="A25" i="4"/>
  <c r="A24" i="4"/>
  <c r="A23" i="4"/>
  <c r="A21" i="4"/>
  <c r="A20" i="4"/>
  <c r="A17" i="4"/>
  <c r="A16" i="4"/>
  <c r="A15" i="4"/>
  <c r="A14" i="4"/>
  <c r="A13" i="4"/>
  <c r="A12" i="4"/>
  <c r="A11" i="4"/>
  <c r="A10" i="4"/>
  <c r="A46" i="4"/>
  <c r="A7" i="4"/>
  <c r="A6" i="4"/>
  <c r="A48" i="3"/>
  <c r="A7" i="3"/>
  <c r="A6" i="3"/>
  <c r="A37" i="3"/>
  <c r="A36" i="3"/>
  <c r="A35" i="3"/>
  <c r="A31" i="3"/>
  <c r="A30" i="3"/>
  <c r="A54" i="3"/>
  <c r="A53" i="3"/>
  <c r="A52" i="3"/>
  <c r="A28" i="3"/>
  <c r="A27" i="3"/>
  <c r="A26" i="3"/>
  <c r="A25" i="3"/>
  <c r="A24" i="3"/>
  <c r="A23" i="3"/>
  <c r="A21" i="3"/>
  <c r="A20" i="3"/>
  <c r="A17" i="3"/>
  <c r="A16" i="3"/>
  <c r="A15" i="3"/>
  <c r="A14" i="3"/>
  <c r="A13" i="3"/>
  <c r="A12" i="3"/>
  <c r="A11" i="3"/>
  <c r="A10" i="3"/>
  <c r="K46" i="2"/>
  <c r="J46" i="2"/>
  <c r="A46" i="2"/>
  <c r="A35" i="2"/>
  <c r="A31" i="2"/>
  <c r="A30" i="2"/>
  <c r="A52" i="2"/>
  <c r="A51" i="2"/>
  <c r="A50" i="2"/>
  <c r="A28" i="2"/>
  <c r="A27" i="2"/>
  <c r="A26" i="2"/>
  <c r="A25" i="2"/>
  <c r="A24" i="2"/>
  <c r="A23" i="2"/>
  <c r="A21" i="2"/>
  <c r="A20" i="2"/>
  <c r="A17" i="2"/>
  <c r="A16" i="2"/>
  <c r="A15" i="2"/>
  <c r="A14" i="2"/>
  <c r="A13" i="2"/>
  <c r="A12" i="2"/>
  <c r="A11" i="2"/>
  <c r="A10" i="2"/>
  <c r="A7" i="2"/>
  <c r="A6" i="2"/>
  <c r="AT35" i="1"/>
  <c r="AT34" i="1"/>
  <c r="AT33" i="1"/>
  <c r="AT32" i="1"/>
  <c r="AT27" i="1"/>
  <c r="A3" i="25" l="1"/>
  <c r="A41" i="1"/>
  <c r="A35" i="1"/>
  <c r="A34" i="1"/>
  <c r="A33" i="1"/>
  <c r="A32" i="1"/>
  <c r="A30" i="1"/>
  <c r="A29" i="1"/>
  <c r="A27" i="1"/>
  <c r="A25" i="1"/>
  <c r="A22" i="1"/>
  <c r="A21" i="1"/>
  <c r="A20" i="1"/>
  <c r="A19" i="1"/>
  <c r="A18" i="1"/>
  <c r="A17" i="1"/>
  <c r="A10" i="1"/>
  <c r="A9" i="1"/>
  <c r="B54" i="8"/>
  <c r="B53" i="8"/>
  <c r="B52" i="8"/>
  <c r="B48" i="8"/>
  <c r="B48" i="6"/>
  <c r="B52" i="6"/>
  <c r="B53" i="6"/>
  <c r="B54" i="6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2" i="8"/>
  <c r="B31" i="8"/>
  <c r="B30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4" i="8"/>
  <c r="C4" i="8"/>
  <c r="D4" i="8" s="1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30" i="8"/>
  <c r="C31" i="8"/>
  <c r="C32" i="8"/>
  <c r="C34" i="8"/>
  <c r="C35" i="8"/>
  <c r="C36" i="8"/>
  <c r="C37" i="8"/>
  <c r="C38" i="8"/>
  <c r="C39" i="8"/>
  <c r="C40" i="8"/>
  <c r="D40" i="8" s="1"/>
  <c r="C41" i="8"/>
  <c r="C42" i="8"/>
  <c r="C43" i="8"/>
  <c r="D43" i="8" s="1"/>
  <c r="C44" i="8"/>
  <c r="C45" i="8"/>
  <c r="C46" i="8"/>
  <c r="C48" i="8"/>
  <c r="D48" i="8" s="1"/>
  <c r="C52" i="8"/>
  <c r="D52" i="8" s="1"/>
  <c r="C53" i="8"/>
  <c r="C54" i="8"/>
  <c r="D54" i="8" s="1"/>
  <c r="D35" i="8"/>
  <c r="D31" i="8"/>
  <c r="D25" i="8"/>
  <c r="D22" i="8"/>
  <c r="D17" i="8"/>
  <c r="D14" i="8"/>
  <c r="D9" i="8"/>
  <c r="D6" i="8"/>
  <c r="D3" i="8"/>
  <c r="D13" i="8"/>
  <c r="D21" i="8"/>
  <c r="D30" i="8"/>
  <c r="D39" i="8"/>
  <c r="D49" i="8"/>
  <c r="D50" i="8"/>
  <c r="D51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A38" i="25" l="1"/>
  <c r="A15" i="25"/>
  <c r="A82" i="25"/>
  <c r="A34" i="25"/>
  <c r="A13" i="25"/>
  <c r="A78" i="25"/>
  <c r="A30" i="25"/>
  <c r="A12" i="25"/>
  <c r="A74" i="25"/>
  <c r="A26" i="25"/>
  <c r="A11" i="25"/>
  <c r="A70" i="25"/>
  <c r="A22" i="25"/>
  <c r="A25" i="25"/>
  <c r="A9" i="25"/>
  <c r="A66" i="25"/>
  <c r="A18" i="25"/>
  <c r="A24" i="25"/>
  <c r="A8" i="25"/>
  <c r="A62" i="25"/>
  <c r="A14" i="25"/>
  <c r="A106" i="25"/>
  <c r="A23" i="25"/>
  <c r="A7" i="25"/>
  <c r="A58" i="25"/>
  <c r="A10" i="25"/>
  <c r="A102" i="25"/>
  <c r="A21" i="25"/>
  <c r="A54" i="25"/>
  <c r="A6" i="25"/>
  <c r="A98" i="25"/>
  <c r="A20" i="25"/>
  <c r="A50" i="25"/>
  <c r="A94" i="25"/>
  <c r="A19" i="25"/>
  <c r="A46" i="25"/>
  <c r="A90" i="25"/>
  <c r="A17" i="25"/>
  <c r="A16" i="25"/>
  <c r="A42" i="25"/>
  <c r="A86" i="25"/>
  <c r="D11" i="8"/>
  <c r="D19" i="8"/>
  <c r="D27" i="8"/>
  <c r="D37" i="8"/>
  <c r="D45" i="8"/>
  <c r="D12" i="8"/>
  <c r="D20" i="8"/>
  <c r="D28" i="8"/>
  <c r="D38" i="8"/>
  <c r="D46" i="8"/>
  <c r="D7" i="8"/>
  <c r="D15" i="8"/>
  <c r="D23" i="8"/>
  <c r="D32" i="8"/>
  <c r="D41" i="8"/>
  <c r="D53" i="8"/>
  <c r="D10" i="8"/>
  <c r="D18" i="8"/>
  <c r="D26" i="8"/>
  <c r="D36" i="8"/>
  <c r="D44" i="8"/>
  <c r="D8" i="8"/>
  <c r="D16" i="8"/>
  <c r="D24" i="8"/>
  <c r="D34" i="8"/>
  <c r="D42" i="8"/>
  <c r="A3" i="27"/>
  <c r="A14" i="27" l="1"/>
  <c r="A10" i="27"/>
  <c r="A9" i="27"/>
  <c r="A8" i="27"/>
  <c r="A7" i="27"/>
  <c r="Q17" i="1"/>
  <c r="A19" i="27" l="1"/>
  <c r="A11" i="27"/>
  <c r="A12" i="27"/>
  <c r="A13" i="27"/>
  <c r="A20" i="27"/>
  <c r="A15" i="27"/>
  <c r="A16" i="27"/>
  <c r="A17" i="27"/>
  <c r="Q72" i="18"/>
  <c r="Q72" i="17"/>
  <c r="Q35" i="14"/>
  <c r="Q35" i="13"/>
  <c r="Q35" i="12"/>
  <c r="Q35" i="11"/>
  <c r="Q51" i="22"/>
  <c r="Q36" i="10"/>
  <c r="Q36" i="9"/>
  <c r="Q36" i="8"/>
  <c r="Q36" i="6"/>
  <c r="Q35" i="4"/>
  <c r="Q35" i="3"/>
  <c r="Q35" i="2"/>
  <c r="C4" i="26" l="1"/>
  <c r="B4" i="26"/>
  <c r="A4" i="26"/>
  <c r="A3" i="26"/>
  <c r="A6" i="26" s="1"/>
  <c r="C3" i="26"/>
  <c r="B3" i="26"/>
  <c r="C5" i="27"/>
  <c r="B5" i="27"/>
  <c r="A5" i="27"/>
  <c r="C3" i="27"/>
  <c r="C9" i="27" s="1"/>
  <c r="B3" i="27"/>
  <c r="B20" i="27"/>
  <c r="D18" i="27"/>
  <c r="B8" i="27"/>
  <c r="B9" i="27"/>
  <c r="B10" i="27"/>
  <c r="B11" i="27"/>
  <c r="B12" i="27"/>
  <c r="B13" i="27"/>
  <c r="B14" i="27"/>
  <c r="B15" i="27"/>
  <c r="B16" i="27"/>
  <c r="B17" i="27"/>
  <c r="B7" i="27"/>
  <c r="B4" i="27"/>
  <c r="B19" i="27" l="1"/>
  <c r="D4" i="27"/>
  <c r="C14" i="27"/>
  <c r="C10" i="27"/>
  <c r="S9" i="27"/>
  <c r="D9" i="27"/>
  <c r="Q9" i="27"/>
  <c r="C8" i="27"/>
  <c r="D8" i="27" s="1"/>
  <c r="Q8" i="27"/>
  <c r="C7" i="27"/>
  <c r="D7" i="27" s="1"/>
  <c r="Q7" i="27"/>
  <c r="D5" i="27"/>
  <c r="D3" i="27"/>
  <c r="D2" i="27"/>
  <c r="C4" i="25"/>
  <c r="B4" i="25"/>
  <c r="A4" i="25"/>
  <c r="C3" i="25"/>
  <c r="B3" i="25"/>
  <c r="C6" i="26"/>
  <c r="D6" i="26" s="1"/>
  <c r="B6" i="26"/>
  <c r="Q6" i="26"/>
  <c r="D4" i="26"/>
  <c r="D3" i="26"/>
  <c r="D2" i="26"/>
  <c r="C86" i="25" l="1"/>
  <c r="C88" i="25" s="1"/>
  <c r="C90" i="25"/>
  <c r="A115" i="25"/>
  <c r="A112" i="25"/>
  <c r="A114" i="25"/>
  <c r="A111" i="25"/>
  <c r="A113" i="25"/>
  <c r="C20" i="25"/>
  <c r="C16" i="25"/>
  <c r="C12" i="25"/>
  <c r="C8" i="25"/>
  <c r="C46" i="25"/>
  <c r="C42" i="25"/>
  <c r="C24" i="25"/>
  <c r="C19" i="27"/>
  <c r="C12" i="27"/>
  <c r="S12" i="27" s="1"/>
  <c r="C16" i="27"/>
  <c r="D16" i="27" s="1"/>
  <c r="C20" i="27"/>
  <c r="B121" i="25"/>
  <c r="B135" i="25"/>
  <c r="B49" i="25"/>
  <c r="B48" i="25"/>
  <c r="B47" i="25"/>
  <c r="B46" i="25"/>
  <c r="C13" i="27"/>
  <c r="D13" i="27" s="1"/>
  <c r="C11" i="27"/>
  <c r="S11" i="27" s="1"/>
  <c r="D14" i="27"/>
  <c r="C15" i="27"/>
  <c r="D15" i="27" s="1"/>
  <c r="M19" i="27"/>
  <c r="Q16" i="27"/>
  <c r="M20" i="27"/>
  <c r="Q15" i="27"/>
  <c r="Q14" i="27"/>
  <c r="Q13" i="27"/>
  <c r="S14" i="27"/>
  <c r="D10" i="27"/>
  <c r="Q12" i="27"/>
  <c r="C17" i="27"/>
  <c r="Q11" i="27"/>
  <c r="Q10" i="27"/>
  <c r="S10" i="27"/>
  <c r="Q17" i="27"/>
  <c r="S8" i="27"/>
  <c r="S7" i="27"/>
  <c r="B117" i="25"/>
  <c r="B136" i="25"/>
  <c r="B127" i="25"/>
  <c r="B113" i="25"/>
  <c r="B122" i="25"/>
  <c r="B129" i="25"/>
  <c r="B114" i="25"/>
  <c r="B123" i="25"/>
  <c r="B132" i="25"/>
  <c r="B118" i="25"/>
  <c r="B119" i="25"/>
  <c r="B112" i="25"/>
  <c r="B120" i="25"/>
  <c r="B115" i="25"/>
  <c r="B124" i="25"/>
  <c r="B133" i="25"/>
  <c r="B128" i="25"/>
  <c r="B130" i="25"/>
  <c r="B111" i="25"/>
  <c r="B131" i="25"/>
  <c r="B116" i="25"/>
  <c r="B126" i="25"/>
  <c r="B134" i="25"/>
  <c r="B125" i="25"/>
  <c r="S6" i="26"/>
  <c r="S13" i="27" l="1"/>
  <c r="D12" i="27"/>
  <c r="D11" i="27"/>
  <c r="A49" i="25"/>
  <c r="A121" i="25"/>
  <c r="M121" i="25" s="1"/>
  <c r="A47" i="25"/>
  <c r="A48" i="25"/>
  <c r="A29" i="25"/>
  <c r="A116" i="25"/>
  <c r="A27" i="25"/>
  <c r="A28" i="25"/>
  <c r="A53" i="25"/>
  <c r="A51" i="25"/>
  <c r="A122" i="25"/>
  <c r="A52" i="25"/>
  <c r="A33" i="25"/>
  <c r="A117" i="25"/>
  <c r="A31" i="25"/>
  <c r="A32" i="25"/>
  <c r="A89" i="25"/>
  <c r="A87" i="25"/>
  <c r="A131" i="25"/>
  <c r="A88" i="25"/>
  <c r="A85" i="25"/>
  <c r="A130" i="25"/>
  <c r="A84" i="25"/>
  <c r="A83" i="25"/>
  <c r="A77" i="25"/>
  <c r="A128" i="25"/>
  <c r="A75" i="25"/>
  <c r="A76" i="25"/>
  <c r="A69" i="25"/>
  <c r="A126" i="25"/>
  <c r="A67" i="25"/>
  <c r="A68" i="25"/>
  <c r="A101" i="25"/>
  <c r="A134" i="25"/>
  <c r="A99" i="25"/>
  <c r="A100" i="25"/>
  <c r="A105" i="25"/>
  <c r="A135" i="25"/>
  <c r="A103" i="25"/>
  <c r="A104" i="25"/>
  <c r="A41" i="25"/>
  <c r="A39" i="25"/>
  <c r="A119" i="25"/>
  <c r="A40" i="25"/>
  <c r="A45" i="25"/>
  <c r="A120" i="25"/>
  <c r="A43" i="25"/>
  <c r="A44" i="25"/>
  <c r="A65" i="25"/>
  <c r="A125" i="25"/>
  <c r="A63" i="25"/>
  <c r="A64" i="25"/>
  <c r="A61" i="25"/>
  <c r="A124" i="25"/>
  <c r="A60" i="25"/>
  <c r="A59" i="25"/>
  <c r="A37" i="25"/>
  <c r="A118" i="25"/>
  <c r="A35" i="25"/>
  <c r="A36" i="25"/>
  <c r="A81" i="25"/>
  <c r="A129" i="25"/>
  <c r="A80" i="25"/>
  <c r="A79" i="25"/>
  <c r="A97" i="25"/>
  <c r="A133" i="25"/>
  <c r="A95" i="25"/>
  <c r="A96" i="25"/>
  <c r="A73" i="25"/>
  <c r="A127" i="25"/>
  <c r="A72" i="25"/>
  <c r="A71" i="25"/>
  <c r="A57" i="25"/>
  <c r="A123" i="25"/>
  <c r="A56" i="25"/>
  <c r="A55" i="25"/>
  <c r="A109" i="25"/>
  <c r="A136" i="25"/>
  <c r="A108" i="25"/>
  <c r="A107" i="25"/>
  <c r="A93" i="25"/>
  <c r="A132" i="25"/>
  <c r="A92" i="25"/>
  <c r="A91" i="25"/>
  <c r="C120" i="25"/>
  <c r="C44" i="25"/>
  <c r="C48" i="25"/>
  <c r="C121" i="25"/>
  <c r="Q49" i="25"/>
  <c r="Q48" i="25"/>
  <c r="Q46" i="25"/>
  <c r="Q47" i="25"/>
  <c r="D46" i="25"/>
  <c r="C49" i="25"/>
  <c r="S46" i="25"/>
  <c r="C47" i="25"/>
  <c r="S16" i="27"/>
  <c r="D20" i="27"/>
  <c r="O20" i="27"/>
  <c r="S15" i="27"/>
  <c r="O19" i="27"/>
  <c r="D19" i="27"/>
  <c r="S17" i="27"/>
  <c r="D17" i="27"/>
  <c r="D110" i="25"/>
  <c r="B109" i="25"/>
  <c r="B108" i="25"/>
  <c r="B107" i="25"/>
  <c r="C106" i="25"/>
  <c r="C136" i="25" s="1"/>
  <c r="B106" i="25"/>
  <c r="C41" i="21"/>
  <c r="S41" i="21" s="1"/>
  <c r="B41" i="21"/>
  <c r="C102" i="25"/>
  <c r="C98" i="25"/>
  <c r="B105" i="25"/>
  <c r="B104" i="25"/>
  <c r="B103" i="25"/>
  <c r="B102" i="25"/>
  <c r="B101" i="25"/>
  <c r="B100" i="25"/>
  <c r="B99" i="25"/>
  <c r="B98" i="25"/>
  <c r="C94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C82" i="25"/>
  <c r="B85" i="25"/>
  <c r="B84" i="25"/>
  <c r="B83" i="25"/>
  <c r="B82" i="25"/>
  <c r="C78" i="25"/>
  <c r="B81" i="25"/>
  <c r="B80" i="25"/>
  <c r="B79" i="25"/>
  <c r="B78" i="25"/>
  <c r="C74" i="25"/>
  <c r="Q77" i="25"/>
  <c r="B77" i="25"/>
  <c r="B76" i="25"/>
  <c r="B75" i="25"/>
  <c r="B74" i="25"/>
  <c r="C70" i="25"/>
  <c r="B73" i="25"/>
  <c r="B72" i="25"/>
  <c r="B71" i="25"/>
  <c r="B70" i="25"/>
  <c r="C66" i="25"/>
  <c r="B69" i="25"/>
  <c r="B68" i="25"/>
  <c r="B67" i="25"/>
  <c r="B66" i="25"/>
  <c r="C58" i="25"/>
  <c r="B65" i="25"/>
  <c r="B64" i="25"/>
  <c r="B63" i="25"/>
  <c r="C62" i="25"/>
  <c r="B62" i="25"/>
  <c r="B61" i="25"/>
  <c r="B60" i="25"/>
  <c r="B59" i="25"/>
  <c r="B58" i="25"/>
  <c r="C54" i="25"/>
  <c r="B57" i="25"/>
  <c r="B56" i="25"/>
  <c r="B55" i="25"/>
  <c r="B54" i="25"/>
  <c r="C50" i="25"/>
  <c r="B53" i="25"/>
  <c r="B52" i="25"/>
  <c r="B51" i="25"/>
  <c r="B50" i="25"/>
  <c r="B45" i="25"/>
  <c r="B44" i="25"/>
  <c r="B43" i="25"/>
  <c r="B42" i="25"/>
  <c r="C38" i="25"/>
  <c r="Q40" i="25"/>
  <c r="B41" i="25"/>
  <c r="B40" i="25"/>
  <c r="B39" i="25"/>
  <c r="B38" i="25"/>
  <c r="C34" i="25"/>
  <c r="C30" i="25"/>
  <c r="B37" i="25"/>
  <c r="B36" i="25"/>
  <c r="B35" i="25"/>
  <c r="B34" i="25"/>
  <c r="B33" i="25"/>
  <c r="B32" i="25"/>
  <c r="B31" i="25"/>
  <c r="B30" i="25"/>
  <c r="C26" i="25"/>
  <c r="B29" i="25"/>
  <c r="B28" i="25"/>
  <c r="B27" i="25"/>
  <c r="B26" i="25"/>
  <c r="C25" i="25"/>
  <c r="S25" i="25" s="1"/>
  <c r="D24" i="25"/>
  <c r="C23" i="25"/>
  <c r="D23" i="25" s="1"/>
  <c r="C22" i="25"/>
  <c r="C115" i="25" s="1"/>
  <c r="C21" i="25"/>
  <c r="S21" i="25" s="1"/>
  <c r="S20" i="25"/>
  <c r="C19" i="25"/>
  <c r="S19" i="25" s="1"/>
  <c r="C18" i="25"/>
  <c r="C114" i="25" s="1"/>
  <c r="Q23" i="25"/>
  <c r="B25" i="25"/>
  <c r="B24" i="25"/>
  <c r="B23" i="25"/>
  <c r="B22" i="25"/>
  <c r="B21" i="25"/>
  <c r="B20" i="25"/>
  <c r="B19" i="25"/>
  <c r="B18" i="25"/>
  <c r="C123" i="25" l="1"/>
  <c r="C56" i="25"/>
  <c r="C85" i="25"/>
  <c r="S85" i="25" s="1"/>
  <c r="C130" i="25"/>
  <c r="C84" i="25"/>
  <c r="S84" i="25" s="1"/>
  <c r="C100" i="25"/>
  <c r="C134" i="25"/>
  <c r="O121" i="25"/>
  <c r="D121" i="25"/>
  <c r="S102" i="25"/>
  <c r="C135" i="25"/>
  <c r="C104" i="25"/>
  <c r="D104" i="25" s="1"/>
  <c r="C128" i="25"/>
  <c r="C76" i="25"/>
  <c r="C119" i="25"/>
  <c r="C40" i="25"/>
  <c r="D40" i="25" s="1"/>
  <c r="C32" i="25"/>
  <c r="D32" i="25" s="1"/>
  <c r="C117" i="25"/>
  <c r="S66" i="25"/>
  <c r="C68" i="25"/>
  <c r="D68" i="25" s="1"/>
  <c r="C133" i="25"/>
  <c r="C96" i="25"/>
  <c r="D96" i="25" s="1"/>
  <c r="C124" i="25"/>
  <c r="C60" i="25"/>
  <c r="D60" i="25" s="1"/>
  <c r="C118" i="25"/>
  <c r="C36" i="25"/>
  <c r="S86" i="25"/>
  <c r="C131" i="25"/>
  <c r="C125" i="25"/>
  <c r="C64" i="25"/>
  <c r="C127" i="25" s="1"/>
  <c r="C132" i="25"/>
  <c r="C92" i="25"/>
  <c r="D92" i="25" s="1"/>
  <c r="C28" i="25"/>
  <c r="D28" i="25" s="1"/>
  <c r="C116" i="25"/>
  <c r="C52" i="25"/>
  <c r="D52" i="25" s="1"/>
  <c r="C122" i="25"/>
  <c r="C129" i="25"/>
  <c r="C80" i="25"/>
  <c r="D80" i="25" s="1"/>
  <c r="C108" i="25"/>
  <c r="S70" i="25"/>
  <c r="C72" i="25"/>
  <c r="S47" i="25"/>
  <c r="D47" i="25"/>
  <c r="D49" i="25"/>
  <c r="S49" i="25"/>
  <c r="D48" i="25"/>
  <c r="S48" i="25"/>
  <c r="S24" i="25"/>
  <c r="C67" i="25"/>
  <c r="D67" i="25" s="1"/>
  <c r="D66" i="25"/>
  <c r="S94" i="25"/>
  <c r="C101" i="25"/>
  <c r="S101" i="25" s="1"/>
  <c r="D70" i="25"/>
  <c r="C105" i="25"/>
  <c r="S105" i="25" s="1"/>
  <c r="D106" i="25"/>
  <c r="M134" i="25"/>
  <c r="M135" i="25"/>
  <c r="M129" i="25"/>
  <c r="Q109" i="25"/>
  <c r="M136" i="25"/>
  <c r="M132" i="25"/>
  <c r="Q96" i="25"/>
  <c r="M133" i="25"/>
  <c r="D90" i="25"/>
  <c r="C109" i="25"/>
  <c r="S109" i="25" s="1"/>
  <c r="Q20" i="25"/>
  <c r="M114" i="25"/>
  <c r="D58" i="25"/>
  <c r="C87" i="25"/>
  <c r="D87" i="25" s="1"/>
  <c r="Q56" i="25"/>
  <c r="M123" i="25"/>
  <c r="C107" i="25"/>
  <c r="D107" i="25" s="1"/>
  <c r="Q36" i="25"/>
  <c r="M118" i="25"/>
  <c r="M120" i="25"/>
  <c r="S50" i="25"/>
  <c r="C57" i="25"/>
  <c r="S57" i="25" s="1"/>
  <c r="D62" i="25"/>
  <c r="D102" i="25"/>
  <c r="Q107" i="25"/>
  <c r="Q22" i="25"/>
  <c r="M115" i="25"/>
  <c r="Q32" i="25"/>
  <c r="M117" i="25"/>
  <c r="C35" i="25"/>
  <c r="D35" i="25" s="1"/>
  <c r="Q67" i="25"/>
  <c r="M126" i="25"/>
  <c r="Q73" i="25"/>
  <c r="M127" i="25"/>
  <c r="S74" i="25"/>
  <c r="Q29" i="25"/>
  <c r="M116" i="25"/>
  <c r="S26" i="25"/>
  <c r="D18" i="25"/>
  <c r="M124" i="25"/>
  <c r="M122" i="25"/>
  <c r="M125" i="25"/>
  <c r="S30" i="25"/>
  <c r="M119" i="25"/>
  <c r="C43" i="25"/>
  <c r="D43" i="25" s="1"/>
  <c r="M128" i="25"/>
  <c r="M130" i="25"/>
  <c r="Q86" i="25"/>
  <c r="M131" i="25"/>
  <c r="S22" i="25"/>
  <c r="C39" i="25"/>
  <c r="D39" i="25" s="1"/>
  <c r="D86" i="25"/>
  <c r="D74" i="25"/>
  <c r="D19" i="25"/>
  <c r="Q104" i="25"/>
  <c r="C93" i="25"/>
  <c r="S93" i="25" s="1"/>
  <c r="Q108" i="25"/>
  <c r="C27" i="25"/>
  <c r="D27" i="25" s="1"/>
  <c r="C29" i="25"/>
  <c r="D29" i="25" s="1"/>
  <c r="Q88" i="25"/>
  <c r="S90" i="25"/>
  <c r="C83" i="25"/>
  <c r="D83" i="25" s="1"/>
  <c r="S18" i="25"/>
  <c r="Q54" i="25"/>
  <c r="S82" i="25"/>
  <c r="D82" i="25"/>
  <c r="Q87" i="25"/>
  <c r="Q89" i="25"/>
  <c r="D108" i="25"/>
  <c r="D56" i="25"/>
  <c r="S34" i="25"/>
  <c r="D54" i="25"/>
  <c r="C81" i="25"/>
  <c r="S81" i="25" s="1"/>
  <c r="D42" i="25"/>
  <c r="C45" i="25"/>
  <c r="S45" i="25" s="1"/>
  <c r="D78" i="25"/>
  <c r="C91" i="25"/>
  <c r="D91" i="25" s="1"/>
  <c r="C95" i="25"/>
  <c r="D95" i="25" s="1"/>
  <c r="S54" i="25"/>
  <c r="Q24" i="25"/>
  <c r="D44" i="25"/>
  <c r="C55" i="25"/>
  <c r="C65" i="25"/>
  <c r="S65" i="25" s="1"/>
  <c r="Q66" i="25"/>
  <c r="Q75" i="25"/>
  <c r="Q101" i="25"/>
  <c r="Q84" i="25"/>
  <c r="S62" i="25"/>
  <c r="Q76" i="25"/>
  <c r="Q80" i="25"/>
  <c r="Q92" i="25"/>
  <c r="D94" i="25"/>
  <c r="S106" i="25"/>
  <c r="Q106" i="25"/>
  <c r="D41" i="21"/>
  <c r="Q103" i="25"/>
  <c r="C99" i="25"/>
  <c r="Q102" i="25"/>
  <c r="D98" i="25"/>
  <c r="Q98" i="25"/>
  <c r="C103" i="25"/>
  <c r="S98" i="25"/>
  <c r="Q105" i="25"/>
  <c r="Q100" i="25"/>
  <c r="Q99" i="25"/>
  <c r="C97" i="25"/>
  <c r="S97" i="25" s="1"/>
  <c r="Q95" i="25"/>
  <c r="Q94" i="25"/>
  <c r="Q97" i="25"/>
  <c r="Q90" i="25"/>
  <c r="Q91" i="25"/>
  <c r="Q93" i="25"/>
  <c r="C89" i="25"/>
  <c r="Q83" i="25"/>
  <c r="Q82" i="25"/>
  <c r="D85" i="25"/>
  <c r="Q85" i="25"/>
  <c r="Q79" i="25"/>
  <c r="Q78" i="25"/>
  <c r="S78" i="25"/>
  <c r="C79" i="25"/>
  <c r="Q81" i="25"/>
  <c r="Q74" i="25"/>
  <c r="C77" i="25"/>
  <c r="C75" i="25"/>
  <c r="Q72" i="25"/>
  <c r="Q71" i="25"/>
  <c r="Q70" i="25"/>
  <c r="C73" i="25"/>
  <c r="C71" i="25"/>
  <c r="Q68" i="25"/>
  <c r="C69" i="25"/>
  <c r="Q69" i="25"/>
  <c r="Q64" i="25"/>
  <c r="S58" i="25"/>
  <c r="C61" i="25"/>
  <c r="S61" i="25" s="1"/>
  <c r="Q63" i="25"/>
  <c r="S64" i="25"/>
  <c r="Q62" i="25"/>
  <c r="C63" i="25"/>
  <c r="C126" i="25" s="1"/>
  <c r="Q65" i="25"/>
  <c r="Q60" i="25"/>
  <c r="Q59" i="25"/>
  <c r="Q58" i="25"/>
  <c r="C59" i="25"/>
  <c r="Q61" i="25"/>
  <c r="Q55" i="25"/>
  <c r="Q57" i="25"/>
  <c r="D50" i="25"/>
  <c r="C53" i="25"/>
  <c r="S53" i="25" s="1"/>
  <c r="Q52" i="25"/>
  <c r="Q51" i="25"/>
  <c r="Q50" i="25"/>
  <c r="C51" i="25"/>
  <c r="Q53" i="25"/>
  <c r="S42" i="25"/>
  <c r="Q44" i="25"/>
  <c r="Q45" i="25"/>
  <c r="Q43" i="25"/>
  <c r="Q42" i="25"/>
  <c r="S38" i="25"/>
  <c r="C41" i="25"/>
  <c r="S41" i="25" s="1"/>
  <c r="D38" i="25"/>
  <c r="Q39" i="25"/>
  <c r="Q38" i="25"/>
  <c r="Q41" i="25"/>
  <c r="D22" i="25"/>
  <c r="D36" i="25"/>
  <c r="C37" i="25"/>
  <c r="S37" i="25" s="1"/>
  <c r="D34" i="25"/>
  <c r="Q35" i="25"/>
  <c r="Q34" i="25"/>
  <c r="Q37" i="25"/>
  <c r="C31" i="25"/>
  <c r="D31" i="25" s="1"/>
  <c r="D30" i="25"/>
  <c r="C33" i="25"/>
  <c r="S33" i="25" s="1"/>
  <c r="Q31" i="25"/>
  <c r="Q30" i="25"/>
  <c r="Q33" i="25"/>
  <c r="Q26" i="25"/>
  <c r="Q28" i="25"/>
  <c r="D26" i="25"/>
  <c r="Q27" i="25"/>
  <c r="Q18" i="25"/>
  <c r="Q19" i="25"/>
  <c r="D20" i="25"/>
  <c r="S23" i="25"/>
  <c r="D21" i="25"/>
  <c r="Q21" i="25"/>
  <c r="D25" i="25"/>
  <c r="Q25" i="25"/>
  <c r="C17" i="25"/>
  <c r="S17" i="25" s="1"/>
  <c r="D16" i="25"/>
  <c r="C15" i="25"/>
  <c r="D15" i="25" s="1"/>
  <c r="C14" i="25"/>
  <c r="B17" i="25"/>
  <c r="B16" i="25"/>
  <c r="B15" i="25"/>
  <c r="B14" i="25"/>
  <c r="C13" i="25"/>
  <c r="S13" i="25" s="1"/>
  <c r="S12" i="25"/>
  <c r="C11" i="25"/>
  <c r="S11" i="25" s="1"/>
  <c r="C10" i="25"/>
  <c r="C112" i="25" s="1"/>
  <c r="B13" i="25"/>
  <c r="B12" i="25"/>
  <c r="B11" i="25"/>
  <c r="B10" i="25"/>
  <c r="C9" i="25"/>
  <c r="S9" i="25" s="1"/>
  <c r="S8" i="25"/>
  <c r="B9" i="25"/>
  <c r="B8" i="25"/>
  <c r="C7" i="25"/>
  <c r="S7" i="25" s="1"/>
  <c r="B7" i="25"/>
  <c r="C6" i="25"/>
  <c r="C111" i="25" s="1"/>
  <c r="B6" i="25"/>
  <c r="D4" i="25"/>
  <c r="D3" i="25"/>
  <c r="D2" i="25"/>
  <c r="D14" i="25" l="1"/>
  <c r="C113" i="25"/>
  <c r="D64" i="25"/>
  <c r="S67" i="25"/>
  <c r="S56" i="25"/>
  <c r="D105" i="25"/>
  <c r="S39" i="25"/>
  <c r="S43" i="25"/>
  <c r="S80" i="25"/>
  <c r="S29" i="25"/>
  <c r="D101" i="25"/>
  <c r="S92" i="25"/>
  <c r="S95" i="25"/>
  <c r="S68" i="25"/>
  <c r="S83" i="25"/>
  <c r="D84" i="25"/>
  <c r="S35" i="25"/>
  <c r="D57" i="25"/>
  <c r="S91" i="25"/>
  <c r="D109" i="25"/>
  <c r="O134" i="25"/>
  <c r="D134" i="25"/>
  <c r="D97" i="25"/>
  <c r="D132" i="25"/>
  <c r="O132" i="25"/>
  <c r="O136" i="25"/>
  <c r="D136" i="25"/>
  <c r="S28" i="25"/>
  <c r="S44" i="25"/>
  <c r="O129" i="25"/>
  <c r="D129" i="25"/>
  <c r="O133" i="25"/>
  <c r="D133" i="25"/>
  <c r="D135" i="25"/>
  <c r="O135" i="25"/>
  <c r="S6" i="25"/>
  <c r="S107" i="25"/>
  <c r="O118" i="25"/>
  <c r="D118" i="25"/>
  <c r="O117" i="25"/>
  <c r="D117" i="25"/>
  <c r="O114" i="25"/>
  <c r="D114" i="25"/>
  <c r="Q9" i="25"/>
  <c r="M111" i="25"/>
  <c r="O119" i="25"/>
  <c r="D119" i="25"/>
  <c r="O128" i="25"/>
  <c r="D128" i="25"/>
  <c r="O125" i="25"/>
  <c r="D125" i="25"/>
  <c r="O124" i="25"/>
  <c r="D124" i="25"/>
  <c r="S27" i="25"/>
  <c r="O115" i="25"/>
  <c r="D115" i="25"/>
  <c r="D127" i="25"/>
  <c r="O127" i="25"/>
  <c r="O123" i="25"/>
  <c r="D123" i="25"/>
  <c r="Q12" i="25"/>
  <c r="M112" i="25"/>
  <c r="O130" i="25"/>
  <c r="D130" i="25"/>
  <c r="O111" i="25"/>
  <c r="D111" i="25"/>
  <c r="S10" i="25"/>
  <c r="O126" i="25"/>
  <c r="D126" i="25"/>
  <c r="S96" i="25"/>
  <c r="O120" i="25"/>
  <c r="D120" i="25"/>
  <c r="Q16" i="25"/>
  <c r="M113" i="25"/>
  <c r="S87" i="25"/>
  <c r="O131" i="25"/>
  <c r="D131" i="25"/>
  <c r="S14" i="25"/>
  <c r="D81" i="25"/>
  <c r="D116" i="25"/>
  <c r="O116" i="25"/>
  <c r="O122" i="25"/>
  <c r="D122" i="25"/>
  <c r="S104" i="25"/>
  <c r="S108" i="25"/>
  <c r="D53" i="25"/>
  <c r="D93" i="25"/>
  <c r="S40" i="25"/>
  <c r="Q7" i="25"/>
  <c r="Q14" i="25"/>
  <c r="D17" i="25"/>
  <c r="D65" i="25"/>
  <c r="Q8" i="25"/>
  <c r="S52" i="25"/>
  <c r="D55" i="25"/>
  <c r="S55" i="25"/>
  <c r="Q15" i="25"/>
  <c r="D41" i="25"/>
  <c r="Q6" i="25"/>
  <c r="Q17" i="25"/>
  <c r="D45" i="25"/>
  <c r="S60" i="25"/>
  <c r="S99" i="25"/>
  <c r="D99" i="25"/>
  <c r="D103" i="25"/>
  <c r="S103" i="25"/>
  <c r="S100" i="25"/>
  <c r="D100" i="25"/>
  <c r="S89" i="25"/>
  <c r="D89" i="25"/>
  <c r="D88" i="25"/>
  <c r="S88" i="25"/>
  <c r="D79" i="25"/>
  <c r="S79" i="25"/>
  <c r="D76" i="25"/>
  <c r="S76" i="25"/>
  <c r="D75" i="25"/>
  <c r="S75" i="25"/>
  <c r="S77" i="25"/>
  <c r="D77" i="25"/>
  <c r="D72" i="25"/>
  <c r="S72" i="25"/>
  <c r="D71" i="25"/>
  <c r="S71" i="25"/>
  <c r="S73" i="25"/>
  <c r="D73" i="25"/>
  <c r="S69" i="25"/>
  <c r="D69" i="25"/>
  <c r="D61" i="25"/>
  <c r="D63" i="25"/>
  <c r="S63" i="25"/>
  <c r="D59" i="25"/>
  <c r="S59" i="25"/>
  <c r="D51" i="25"/>
  <c r="S51" i="25"/>
  <c r="S36" i="25"/>
  <c r="D37" i="25"/>
  <c r="D33" i="25"/>
  <c r="S32" i="25"/>
  <c r="S31" i="25"/>
  <c r="S16" i="25"/>
  <c r="S15" i="25"/>
  <c r="D12" i="25"/>
  <c r="D11" i="25"/>
  <c r="Q13" i="25"/>
  <c r="D10" i="25"/>
  <c r="Q11" i="25"/>
  <c r="Q10" i="25"/>
  <c r="D13" i="25"/>
  <c r="D9" i="25"/>
  <c r="D8" i="25"/>
  <c r="D7" i="25"/>
  <c r="D6" i="25"/>
  <c r="D113" i="25" l="1"/>
  <c r="O113" i="25"/>
  <c r="O112" i="25"/>
  <c r="D112" i="25"/>
  <c r="C3" i="1"/>
  <c r="C4" i="20"/>
  <c r="B4" i="20"/>
  <c r="A4" i="20"/>
  <c r="C4" i="21"/>
  <c r="D4" i="21" s="1"/>
  <c r="B4" i="21"/>
  <c r="A4" i="21"/>
  <c r="B9" i="21" s="1"/>
  <c r="C4" i="18"/>
  <c r="D4" i="18" s="1"/>
  <c r="B4" i="18"/>
  <c r="A4" i="18"/>
  <c r="C4" i="16"/>
  <c r="B4" i="16"/>
  <c r="A4" i="16"/>
  <c r="C4" i="17"/>
  <c r="B4" i="17"/>
  <c r="A4" i="17"/>
  <c r="C4" i="15"/>
  <c r="D4" i="15" s="1"/>
  <c r="B4" i="15"/>
  <c r="A4" i="15"/>
  <c r="B7" i="15" s="1"/>
  <c r="C4" i="14"/>
  <c r="D4" i="14" s="1"/>
  <c r="B4" i="14"/>
  <c r="A4" i="14"/>
  <c r="B6" i="14" s="1"/>
  <c r="C4" i="13"/>
  <c r="B4" i="13"/>
  <c r="A4" i="13"/>
  <c r="C4" i="12"/>
  <c r="B4" i="12"/>
  <c r="A4" i="12"/>
  <c r="C4" i="11"/>
  <c r="D4" i="11" s="1"/>
  <c r="B4" i="11"/>
  <c r="A4" i="11"/>
  <c r="B6" i="11" s="1"/>
  <c r="C4" i="22"/>
  <c r="D4" i="22" s="1"/>
  <c r="B4" i="22"/>
  <c r="A4" i="22"/>
  <c r="B6" i="22" s="1"/>
  <c r="C4" i="10"/>
  <c r="B4" i="10"/>
  <c r="A4" i="10"/>
  <c r="C4" i="9"/>
  <c r="B4" i="9"/>
  <c r="A4" i="9"/>
  <c r="B6" i="9" s="1"/>
  <c r="A4" i="8"/>
  <c r="B6" i="8" s="1"/>
  <c r="C4" i="6"/>
  <c r="B4" i="6"/>
  <c r="A4" i="6"/>
  <c r="B6" i="6" s="1"/>
  <c r="C4" i="4"/>
  <c r="B4" i="4"/>
  <c r="A4" i="4"/>
  <c r="C4" i="3"/>
  <c r="B4" i="3"/>
  <c r="A4" i="3"/>
  <c r="B4" i="2"/>
  <c r="C4" i="2"/>
  <c r="D4" i="2" s="1"/>
  <c r="A4" i="2"/>
  <c r="D7" i="1"/>
  <c r="AO8" i="24"/>
  <c r="AP8" i="24"/>
  <c r="AP7" i="24"/>
  <c r="AO7" i="24"/>
  <c r="B3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O8" i="24"/>
  <c r="C8" i="24"/>
  <c r="D8" i="24" s="1"/>
  <c r="B8" i="24"/>
  <c r="C7" i="24"/>
  <c r="D7" i="24" s="1"/>
  <c r="B7" i="24"/>
  <c r="D6" i="24"/>
  <c r="C5" i="24"/>
  <c r="S5" i="24" s="1"/>
  <c r="B5" i="24"/>
  <c r="D4" i="24"/>
  <c r="D3" i="24"/>
  <c r="D2" i="24"/>
  <c r="B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C66" i="23"/>
  <c r="AV66" i="23" s="1"/>
  <c r="B66" i="23"/>
  <c r="C65" i="23"/>
  <c r="D65" i="23" s="1"/>
  <c r="B65" i="23"/>
  <c r="AT64" i="23"/>
  <c r="C64" i="23"/>
  <c r="D64" i="23" s="1"/>
  <c r="B64" i="23"/>
  <c r="AT63" i="23"/>
  <c r="C63" i="23"/>
  <c r="D63" i="23" s="1"/>
  <c r="B63" i="23"/>
  <c r="C62" i="23"/>
  <c r="D62" i="23" s="1"/>
  <c r="B62" i="23"/>
  <c r="C61" i="23"/>
  <c r="D61" i="23" s="1"/>
  <c r="B61" i="23"/>
  <c r="AT60" i="23"/>
  <c r="C60" i="23"/>
  <c r="D60" i="23" s="1"/>
  <c r="B60" i="23"/>
  <c r="AT59" i="23"/>
  <c r="C59" i="23"/>
  <c r="D59" i="23" s="1"/>
  <c r="B59" i="23"/>
  <c r="AT58" i="23"/>
  <c r="C58" i="23"/>
  <c r="D58" i="23" s="1"/>
  <c r="B58" i="23"/>
  <c r="AT57" i="23"/>
  <c r="C57" i="23"/>
  <c r="AV57" i="23" s="1"/>
  <c r="B57" i="23"/>
  <c r="AT56" i="23"/>
  <c r="C56" i="23"/>
  <c r="D56" i="23" s="1"/>
  <c r="B56" i="23"/>
  <c r="AT55" i="23"/>
  <c r="C55" i="23"/>
  <c r="AV55" i="23" s="1"/>
  <c r="B55" i="23"/>
  <c r="AT54" i="23"/>
  <c r="C54" i="23"/>
  <c r="D54" i="23" s="1"/>
  <c r="B54" i="23"/>
  <c r="AT53" i="23"/>
  <c r="C53" i="23"/>
  <c r="D53" i="23" s="1"/>
  <c r="B53" i="23"/>
  <c r="AT52" i="23"/>
  <c r="C52" i="23"/>
  <c r="D52" i="23" s="1"/>
  <c r="B52" i="23"/>
  <c r="AT51" i="23"/>
  <c r="C51" i="23"/>
  <c r="AV51" i="23" s="1"/>
  <c r="B51" i="23"/>
  <c r="C50" i="23"/>
  <c r="D50" i="23" s="1"/>
  <c r="B50" i="23"/>
  <c r="C49" i="23"/>
  <c r="AV49" i="23" s="1"/>
  <c r="B49" i="23"/>
  <c r="C48" i="23"/>
  <c r="AV48" i="23" s="1"/>
  <c r="B48" i="23"/>
  <c r="C47" i="23"/>
  <c r="AV47" i="23" s="1"/>
  <c r="B47" i="23"/>
  <c r="C46" i="23"/>
  <c r="D46" i="23" s="1"/>
  <c r="B46" i="23"/>
  <c r="C45" i="23"/>
  <c r="AV45" i="23" s="1"/>
  <c r="B45" i="23"/>
  <c r="C44" i="23"/>
  <c r="D44" i="23" s="1"/>
  <c r="B44" i="23"/>
  <c r="C43" i="23"/>
  <c r="AV43" i="23" s="1"/>
  <c r="B43" i="23"/>
  <c r="D42" i="23"/>
  <c r="C41" i="23"/>
  <c r="AV41" i="23" s="1"/>
  <c r="B41" i="23"/>
  <c r="D40" i="23"/>
  <c r="B40" i="23"/>
  <c r="AV39" i="23"/>
  <c r="B39" i="23"/>
  <c r="AV38" i="23"/>
  <c r="B38" i="23"/>
  <c r="AP37" i="23"/>
  <c r="O37" i="23"/>
  <c r="C37" i="23"/>
  <c r="AV37" i="23" s="1"/>
  <c r="B37" i="23"/>
  <c r="AP36" i="23"/>
  <c r="O36" i="23"/>
  <c r="C36" i="23"/>
  <c r="D36" i="23" s="1"/>
  <c r="B36" i="23"/>
  <c r="AP35" i="23"/>
  <c r="O35" i="23"/>
  <c r="C35" i="23"/>
  <c r="AV35" i="23" s="1"/>
  <c r="B35" i="23"/>
  <c r="AP34" i="23"/>
  <c r="O34" i="23"/>
  <c r="C34" i="23"/>
  <c r="D34" i="23" s="1"/>
  <c r="B34" i="23"/>
  <c r="C33" i="23"/>
  <c r="D33" i="23" s="1"/>
  <c r="B33" i="23"/>
  <c r="AT32" i="23"/>
  <c r="D32" i="23"/>
  <c r="B32" i="23"/>
  <c r="AT31" i="23"/>
  <c r="AP31" i="23"/>
  <c r="O31" i="23"/>
  <c r="C31" i="23"/>
  <c r="AV31" i="23" s="1"/>
  <c r="B31" i="23"/>
  <c r="AT30" i="23"/>
  <c r="AP30" i="23"/>
  <c r="O30" i="23"/>
  <c r="C30" i="23"/>
  <c r="D30" i="23" s="1"/>
  <c r="B30" i="23"/>
  <c r="AT29" i="23"/>
  <c r="AP29" i="23"/>
  <c r="O29" i="23"/>
  <c r="C29" i="23"/>
  <c r="D29" i="23" s="1"/>
  <c r="B29" i="23"/>
  <c r="AT28" i="23"/>
  <c r="AP28" i="23"/>
  <c r="C28" i="23"/>
  <c r="AV28" i="23" s="1"/>
  <c r="B28" i="23"/>
  <c r="D27" i="23"/>
  <c r="Q26" i="23"/>
  <c r="D26" i="23"/>
  <c r="B26" i="23"/>
  <c r="Q25" i="23"/>
  <c r="D25" i="23"/>
  <c r="B25" i="23"/>
  <c r="Q24" i="23"/>
  <c r="S24" i="23"/>
  <c r="B24" i="23"/>
  <c r="Q23" i="23"/>
  <c r="D23" i="23"/>
  <c r="B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M57" i="22"/>
  <c r="B3" i="22"/>
  <c r="D125" i="22"/>
  <c r="D124" i="22"/>
  <c r="D123" i="22"/>
  <c r="D122" i="22"/>
  <c r="D121" i="22"/>
  <c r="D120" i="22"/>
  <c r="D119" i="22"/>
  <c r="D118" i="22"/>
  <c r="D117" i="22"/>
  <c r="D116" i="22"/>
  <c r="D115" i="22"/>
  <c r="D114" i="22"/>
  <c r="D113" i="22"/>
  <c r="D112" i="22"/>
  <c r="D111" i="22"/>
  <c r="D110" i="22"/>
  <c r="D109" i="22"/>
  <c r="D108" i="22"/>
  <c r="D107" i="22"/>
  <c r="D106" i="22"/>
  <c r="D105" i="22"/>
  <c r="D104" i="22"/>
  <c r="D103" i="22"/>
  <c r="D102" i="22"/>
  <c r="D101" i="22"/>
  <c r="D100" i="22"/>
  <c r="D99" i="22"/>
  <c r="D98" i="22"/>
  <c r="D97" i="22"/>
  <c r="D96" i="22"/>
  <c r="D95" i="22"/>
  <c r="D94" i="22"/>
  <c r="D93" i="22"/>
  <c r="D92" i="22"/>
  <c r="D91" i="22"/>
  <c r="D90" i="22"/>
  <c r="D89" i="22"/>
  <c r="D88" i="22"/>
  <c r="D87" i="22"/>
  <c r="D86" i="22"/>
  <c r="D85" i="22"/>
  <c r="D84" i="22"/>
  <c r="D83" i="22"/>
  <c r="D82" i="22"/>
  <c r="D81" i="22"/>
  <c r="D80" i="22"/>
  <c r="D79" i="22"/>
  <c r="D78" i="22"/>
  <c r="D77" i="22"/>
  <c r="D76" i="22"/>
  <c r="D75" i="22"/>
  <c r="D74" i="22"/>
  <c r="D73" i="22"/>
  <c r="D72" i="22"/>
  <c r="K71" i="22"/>
  <c r="C71" i="22"/>
  <c r="D71" i="22" s="1"/>
  <c r="B71" i="22"/>
  <c r="M71" i="22"/>
  <c r="C70" i="22"/>
  <c r="D70" i="22" s="1"/>
  <c r="B70" i="22"/>
  <c r="M70" i="22"/>
  <c r="D68" i="22"/>
  <c r="D67" i="22"/>
  <c r="C66" i="22"/>
  <c r="D66" i="22" s="1"/>
  <c r="B66" i="22"/>
  <c r="D65" i="22"/>
  <c r="C64" i="22"/>
  <c r="AV64" i="22" s="1"/>
  <c r="B64" i="22"/>
  <c r="O63" i="22"/>
  <c r="AP63" i="22" s="1"/>
  <c r="N63" i="22"/>
  <c r="M63" i="22" s="1"/>
  <c r="C63" i="22"/>
  <c r="AV63" i="22" s="1"/>
  <c r="B63" i="22"/>
  <c r="AP62" i="22"/>
  <c r="AO62" i="22"/>
  <c r="M62" i="22"/>
  <c r="C62" i="22"/>
  <c r="AV62" i="22" s="1"/>
  <c r="B62" i="22"/>
  <c r="AP61" i="22"/>
  <c r="AO61" i="22"/>
  <c r="M61" i="22"/>
  <c r="C61" i="22"/>
  <c r="D61" i="22" s="1"/>
  <c r="B61" i="22"/>
  <c r="O60" i="22"/>
  <c r="AP60" i="22" s="1"/>
  <c r="N60" i="22"/>
  <c r="M60" i="22" s="1"/>
  <c r="C60" i="22"/>
  <c r="AV60" i="22" s="1"/>
  <c r="B60" i="22"/>
  <c r="O59" i="22"/>
  <c r="AP59" i="22" s="1"/>
  <c r="N59" i="22"/>
  <c r="M59" i="22" s="1"/>
  <c r="C59" i="22"/>
  <c r="AV59" i="22" s="1"/>
  <c r="B59" i="22"/>
  <c r="O58" i="22"/>
  <c r="AP58" i="22" s="1"/>
  <c r="N58" i="22"/>
  <c r="M58" i="22" s="1"/>
  <c r="C58" i="22"/>
  <c r="D58" i="22" s="1"/>
  <c r="B58" i="22"/>
  <c r="AT57" i="22"/>
  <c r="AP57" i="22"/>
  <c r="C57" i="22"/>
  <c r="D57" i="22" s="1"/>
  <c r="B57" i="22"/>
  <c r="O56" i="22"/>
  <c r="AP56" i="22" s="1"/>
  <c r="N56" i="22"/>
  <c r="AO56" i="22" s="1"/>
  <c r="C56" i="22"/>
  <c r="D56" i="22" s="1"/>
  <c r="B56" i="22"/>
  <c r="O55" i="22"/>
  <c r="AP55" i="22" s="1"/>
  <c r="N55" i="22"/>
  <c r="M55" i="22" s="1"/>
  <c r="C55" i="22"/>
  <c r="AV55" i="22" s="1"/>
  <c r="B55" i="22"/>
  <c r="O54" i="22"/>
  <c r="AP54" i="22" s="1"/>
  <c r="N54" i="22"/>
  <c r="M54" i="22" s="1"/>
  <c r="C54" i="22"/>
  <c r="AV54" i="22" s="1"/>
  <c r="B54" i="22"/>
  <c r="AT53" i="22"/>
  <c r="O53" i="22"/>
  <c r="AP53" i="22" s="1"/>
  <c r="N53" i="22"/>
  <c r="AO53" i="22" s="1"/>
  <c r="D53" i="22"/>
  <c r="B53" i="22"/>
  <c r="AT52" i="22"/>
  <c r="AP52" i="22"/>
  <c r="AO52" i="22"/>
  <c r="M52" i="22"/>
  <c r="D52" i="22"/>
  <c r="B52" i="22"/>
  <c r="AT51" i="22"/>
  <c r="AP51" i="22"/>
  <c r="AO51" i="22"/>
  <c r="M51" i="22"/>
  <c r="C51" i="22"/>
  <c r="D51" i="22" s="1"/>
  <c r="B51" i="22"/>
  <c r="AP50" i="22"/>
  <c r="AO50" i="22"/>
  <c r="M50" i="22"/>
  <c r="C50" i="22"/>
  <c r="D50" i="22" s="1"/>
  <c r="B50" i="22"/>
  <c r="AP49" i="22"/>
  <c r="AO49" i="22"/>
  <c r="M49" i="22"/>
  <c r="C49" i="22"/>
  <c r="D49" i="22" s="1"/>
  <c r="B49" i="22"/>
  <c r="D48" i="22"/>
  <c r="C47" i="22"/>
  <c r="D47" i="22" s="1"/>
  <c r="B47" i="22"/>
  <c r="AV46" i="22"/>
  <c r="B46" i="22"/>
  <c r="C45" i="22"/>
  <c r="D45" i="22" s="1"/>
  <c r="B45" i="22"/>
  <c r="C44" i="22"/>
  <c r="AV44" i="22" s="1"/>
  <c r="B44" i="22"/>
  <c r="C43" i="22"/>
  <c r="AV43" i="22" s="1"/>
  <c r="B43" i="22"/>
  <c r="C42" i="22"/>
  <c r="AV42" i="22" s="1"/>
  <c r="B42" i="22"/>
  <c r="C41" i="22"/>
  <c r="D41" i="22" s="1"/>
  <c r="B41" i="22"/>
  <c r="C40" i="22"/>
  <c r="D40" i="22" s="1"/>
  <c r="B40" i="22"/>
  <c r="C39" i="22"/>
  <c r="D39" i="22" s="1"/>
  <c r="B39" i="22"/>
  <c r="C38" i="22"/>
  <c r="AV38" i="22" s="1"/>
  <c r="B38" i="22"/>
  <c r="D37" i="22"/>
  <c r="B37" i="22"/>
  <c r="C36" i="22"/>
  <c r="AV36" i="22" s="1"/>
  <c r="B36" i="22"/>
  <c r="C35" i="22"/>
  <c r="AV35" i="22" s="1"/>
  <c r="B35" i="22"/>
  <c r="C34" i="22"/>
  <c r="D34" i="22" s="1"/>
  <c r="B34" i="22"/>
  <c r="AT33" i="22"/>
  <c r="AP33" i="22"/>
  <c r="AO33" i="22"/>
  <c r="M33" i="22"/>
  <c r="C33" i="22"/>
  <c r="AV33" i="22" s="1"/>
  <c r="B33" i="22"/>
  <c r="AT32" i="22"/>
  <c r="AP32" i="22"/>
  <c r="AO32" i="22"/>
  <c r="M32" i="22"/>
  <c r="C32" i="22"/>
  <c r="D32" i="22" s="1"/>
  <c r="B32" i="22"/>
  <c r="AT31" i="22"/>
  <c r="AP31" i="22"/>
  <c r="AO31" i="22"/>
  <c r="M31" i="22"/>
  <c r="C31" i="22"/>
  <c r="AV31" i="22" s="1"/>
  <c r="B31" i="22"/>
  <c r="Q29" i="22"/>
  <c r="C29" i="22"/>
  <c r="D29" i="22" s="1"/>
  <c r="B29" i="22"/>
  <c r="C28" i="22"/>
  <c r="D28" i="22" s="1"/>
  <c r="B28" i="22"/>
  <c r="Q27" i="22"/>
  <c r="C27" i="22"/>
  <c r="S27" i="22" s="1"/>
  <c r="B27" i="22"/>
  <c r="Q26" i="22"/>
  <c r="C26" i="22"/>
  <c r="D26" i="22" s="1"/>
  <c r="B26" i="22"/>
  <c r="Q25" i="22"/>
  <c r="C25" i="22"/>
  <c r="D25" i="22" s="1"/>
  <c r="B25" i="22"/>
  <c r="Q24" i="22"/>
  <c r="C24" i="22"/>
  <c r="S24" i="22" s="1"/>
  <c r="B24" i="22"/>
  <c r="Q23" i="22"/>
  <c r="C23" i="22"/>
  <c r="S23" i="22" s="1"/>
  <c r="B23" i="22"/>
  <c r="C22" i="22"/>
  <c r="D22" i="22" s="1"/>
  <c r="B22" i="22"/>
  <c r="Q21" i="22"/>
  <c r="C21" i="22"/>
  <c r="S21" i="22" s="1"/>
  <c r="B21" i="22"/>
  <c r="Q20" i="22"/>
  <c r="C20" i="22"/>
  <c r="D20" i="22" s="1"/>
  <c r="B20" i="22"/>
  <c r="C19" i="22"/>
  <c r="D19" i="22" s="1"/>
  <c r="B19" i="22"/>
  <c r="C18" i="22"/>
  <c r="D18" i="22" s="1"/>
  <c r="B18" i="22"/>
  <c r="Q17" i="22"/>
  <c r="C17" i="22"/>
  <c r="D17" i="22" s="1"/>
  <c r="B17" i="22"/>
  <c r="Q16" i="22"/>
  <c r="C16" i="22"/>
  <c r="S16" i="22" s="1"/>
  <c r="B16" i="22"/>
  <c r="Q15" i="22"/>
  <c r="C15" i="22"/>
  <c r="D15" i="22" s="1"/>
  <c r="B15" i="22"/>
  <c r="Q14" i="22"/>
  <c r="C14" i="22"/>
  <c r="S14" i="22" s="1"/>
  <c r="B14" i="22"/>
  <c r="Q13" i="22"/>
  <c r="C13" i="22"/>
  <c r="S13" i="22" s="1"/>
  <c r="B13" i="22"/>
  <c r="Q12" i="22"/>
  <c r="C12" i="22"/>
  <c r="S12" i="22" s="1"/>
  <c r="B12" i="22"/>
  <c r="Q11" i="22"/>
  <c r="C11" i="22"/>
  <c r="D11" i="22" s="1"/>
  <c r="B11" i="22"/>
  <c r="Q10" i="22"/>
  <c r="C10" i="22"/>
  <c r="D10" i="22" s="1"/>
  <c r="B10" i="22"/>
  <c r="C9" i="22"/>
  <c r="D9" i="22" s="1"/>
  <c r="B9" i="22"/>
  <c r="C8" i="22"/>
  <c r="S8" i="22" s="1"/>
  <c r="B8" i="22"/>
  <c r="Q7" i="22"/>
  <c r="C7" i="22"/>
  <c r="D7" i="22" s="1"/>
  <c r="B7" i="22"/>
  <c r="Q6" i="22"/>
  <c r="C6" i="22"/>
  <c r="D6" i="22" s="1"/>
  <c r="D3" i="22"/>
  <c r="O9" i="21"/>
  <c r="B3" i="20"/>
  <c r="C53" i="21"/>
  <c r="O53" i="21" s="1"/>
  <c r="B53" i="21"/>
  <c r="M53" i="21"/>
  <c r="B3" i="21"/>
  <c r="O8" i="17"/>
  <c r="AR75" i="17" s="1"/>
  <c r="B3" i="18"/>
  <c r="B3" i="17"/>
  <c r="D70" i="21"/>
  <c r="D69" i="21"/>
  <c r="D68" i="21"/>
  <c r="D67" i="21"/>
  <c r="D66" i="21"/>
  <c r="D65" i="21"/>
  <c r="D64" i="21"/>
  <c r="D63" i="21"/>
  <c r="D62" i="21"/>
  <c r="D61" i="21"/>
  <c r="D60" i="21"/>
  <c r="D59" i="21"/>
  <c r="D58" i="21"/>
  <c r="D57" i="21"/>
  <c r="D56" i="21"/>
  <c r="D55" i="21"/>
  <c r="D54" i="21"/>
  <c r="K52" i="21"/>
  <c r="C52" i="21"/>
  <c r="O52" i="21" s="1"/>
  <c r="B52" i="21"/>
  <c r="M52" i="21"/>
  <c r="K51" i="21"/>
  <c r="C51" i="21"/>
  <c r="O51" i="21" s="1"/>
  <c r="B51" i="21"/>
  <c r="M51" i="21"/>
  <c r="K50" i="21"/>
  <c r="C50" i="21"/>
  <c r="D50" i="21" s="1"/>
  <c r="B50" i="21"/>
  <c r="M50" i="21"/>
  <c r="K49" i="21"/>
  <c r="C49" i="21"/>
  <c r="D49" i="21" s="1"/>
  <c r="B49" i="21"/>
  <c r="M49" i="21"/>
  <c r="C48" i="21"/>
  <c r="O48" i="21" s="1"/>
  <c r="B48" i="21"/>
  <c r="M48" i="21"/>
  <c r="D47" i="21"/>
  <c r="D46" i="21"/>
  <c r="K45" i="21"/>
  <c r="J45" i="21"/>
  <c r="C45" i="21"/>
  <c r="D45" i="21" s="1"/>
  <c r="B45" i="21"/>
  <c r="D44" i="21"/>
  <c r="AT43" i="21"/>
  <c r="C43" i="21"/>
  <c r="D43" i="21" s="1"/>
  <c r="B43" i="21"/>
  <c r="D42" i="21"/>
  <c r="C40" i="21"/>
  <c r="S40" i="21" s="1"/>
  <c r="B40" i="21"/>
  <c r="C39" i="21"/>
  <c r="S39" i="21" s="1"/>
  <c r="B39" i="21"/>
  <c r="C38" i="21"/>
  <c r="D38" i="21" s="1"/>
  <c r="B38" i="21"/>
  <c r="C37" i="21"/>
  <c r="D37" i="21" s="1"/>
  <c r="B37" i="21"/>
  <c r="C36" i="21"/>
  <c r="S36" i="21" s="1"/>
  <c r="B36" i="21"/>
  <c r="C35" i="21"/>
  <c r="S35" i="21" s="1"/>
  <c r="B35" i="21"/>
  <c r="C34" i="21"/>
  <c r="D34" i="21" s="1"/>
  <c r="B34" i="21"/>
  <c r="C33" i="21"/>
  <c r="S33" i="21" s="1"/>
  <c r="B33" i="21"/>
  <c r="C32" i="21"/>
  <c r="S32" i="21" s="1"/>
  <c r="B32" i="21"/>
  <c r="Q31" i="21"/>
  <c r="C31" i="21"/>
  <c r="D31" i="21" s="1"/>
  <c r="B31" i="21"/>
  <c r="Q30" i="21"/>
  <c r="C30" i="21"/>
  <c r="D30" i="21" s="1"/>
  <c r="B30" i="21"/>
  <c r="Q29" i="21"/>
  <c r="C29" i="21"/>
  <c r="D29" i="21" s="1"/>
  <c r="B29" i="21"/>
  <c r="Q28" i="21"/>
  <c r="C28" i="21"/>
  <c r="D28" i="21" s="1"/>
  <c r="B28" i="21"/>
  <c r="Q27" i="21"/>
  <c r="C27" i="21"/>
  <c r="D27" i="21" s="1"/>
  <c r="B27" i="21"/>
  <c r="Q26" i="21"/>
  <c r="C26" i="21"/>
  <c r="S26" i="21" s="1"/>
  <c r="B26" i="21"/>
  <c r="Q25" i="21"/>
  <c r="C25" i="21"/>
  <c r="S25" i="21" s="1"/>
  <c r="B25" i="21"/>
  <c r="Q24" i="21"/>
  <c r="C24" i="21"/>
  <c r="D24" i="21" s="1"/>
  <c r="B24" i="21"/>
  <c r="Q23" i="21"/>
  <c r="C23" i="21"/>
  <c r="D23" i="21" s="1"/>
  <c r="B23" i="21"/>
  <c r="Q22" i="21"/>
  <c r="C22" i="21"/>
  <c r="D22" i="21" s="1"/>
  <c r="B22" i="21"/>
  <c r="Q21" i="21"/>
  <c r="C21" i="21"/>
  <c r="S21" i="21" s="1"/>
  <c r="B21" i="21"/>
  <c r="C20" i="21"/>
  <c r="D20" i="21" s="1"/>
  <c r="B20" i="21"/>
  <c r="C19" i="21"/>
  <c r="S19" i="21" s="1"/>
  <c r="B19" i="21"/>
  <c r="C18" i="21"/>
  <c r="S18" i="21" s="1"/>
  <c r="B18" i="21"/>
  <c r="Q17" i="21"/>
  <c r="C17" i="21"/>
  <c r="S17" i="21" s="1"/>
  <c r="B17" i="21"/>
  <c r="Q16" i="21"/>
  <c r="C16" i="21"/>
  <c r="D16" i="21" s="1"/>
  <c r="B16" i="21"/>
  <c r="C15" i="21"/>
  <c r="D15" i="21" s="1"/>
  <c r="B15" i="21"/>
  <c r="C14" i="21"/>
  <c r="D14" i="21" s="1"/>
  <c r="B14" i="21"/>
  <c r="C13" i="21"/>
  <c r="S13" i="21" s="1"/>
  <c r="B13" i="21"/>
  <c r="C12" i="21"/>
  <c r="D12" i="21" s="1"/>
  <c r="B12" i="21"/>
  <c r="Q11" i="21"/>
  <c r="C11" i="21"/>
  <c r="D11" i="21" s="1"/>
  <c r="B11" i="21"/>
  <c r="Q10" i="21"/>
  <c r="C10" i="21"/>
  <c r="S10" i="21" s="1"/>
  <c r="B10" i="21"/>
  <c r="Q9" i="21"/>
  <c r="C9" i="21"/>
  <c r="S9" i="21" s="1"/>
  <c r="D8" i="21"/>
  <c r="D7" i="21"/>
  <c r="D6" i="21"/>
  <c r="D5" i="21"/>
  <c r="D3" i="21"/>
  <c r="D48" i="20"/>
  <c r="D47" i="20"/>
  <c r="D36" i="20"/>
  <c r="K35" i="20"/>
  <c r="C35" i="20"/>
  <c r="D35" i="20" s="1"/>
  <c r="B35" i="20"/>
  <c r="M35" i="20"/>
  <c r="K34" i="20"/>
  <c r="C34" i="20"/>
  <c r="D34" i="20" s="1"/>
  <c r="B34" i="20"/>
  <c r="M34" i="20"/>
  <c r="C33" i="20"/>
  <c r="O33" i="20" s="1"/>
  <c r="B33" i="20"/>
  <c r="M33" i="20"/>
  <c r="D31" i="20"/>
  <c r="K30" i="20"/>
  <c r="J30" i="20"/>
  <c r="C30" i="20"/>
  <c r="D30" i="20" s="1"/>
  <c r="B30" i="20"/>
  <c r="D29" i="20"/>
  <c r="AT28" i="20"/>
  <c r="C28" i="20"/>
  <c r="D28" i="20" s="1"/>
  <c r="B28" i="20"/>
  <c r="D27" i="20"/>
  <c r="C26" i="20"/>
  <c r="S26" i="20" s="1"/>
  <c r="B26" i="20"/>
  <c r="C25" i="20"/>
  <c r="D25" i="20" s="1"/>
  <c r="B25" i="20"/>
  <c r="C24" i="20"/>
  <c r="S24" i="20" s="1"/>
  <c r="B24" i="20"/>
  <c r="Q23" i="20"/>
  <c r="C23" i="20"/>
  <c r="S23" i="20" s="1"/>
  <c r="B23" i="20"/>
  <c r="Q22" i="20"/>
  <c r="C22" i="20"/>
  <c r="D22" i="20" s="1"/>
  <c r="B22" i="20"/>
  <c r="Q21" i="20"/>
  <c r="C21" i="20"/>
  <c r="D21" i="20" s="1"/>
  <c r="B21" i="20"/>
  <c r="Q20" i="20"/>
  <c r="C20" i="20"/>
  <c r="D20" i="20" s="1"/>
  <c r="B20" i="20"/>
  <c r="Q19" i="20"/>
  <c r="C19" i="20"/>
  <c r="D19" i="20" s="1"/>
  <c r="B19" i="20"/>
  <c r="Q18" i="20"/>
  <c r="C18" i="20"/>
  <c r="S18" i="20" s="1"/>
  <c r="B18" i="20"/>
  <c r="Q17" i="20"/>
  <c r="C17" i="20"/>
  <c r="D17" i="20" s="1"/>
  <c r="B17" i="20"/>
  <c r="Q16" i="20"/>
  <c r="C16" i="20"/>
  <c r="S16" i="20" s="1"/>
  <c r="B16" i="20"/>
  <c r="C15" i="20"/>
  <c r="D15" i="20" s="1"/>
  <c r="B15" i="20"/>
  <c r="C14" i="20"/>
  <c r="D14" i="20" s="1"/>
  <c r="B14" i="20"/>
  <c r="Q13" i="20"/>
  <c r="C13" i="20"/>
  <c r="D13" i="20" s="1"/>
  <c r="B13" i="20"/>
  <c r="Q12" i="20"/>
  <c r="C12" i="20"/>
  <c r="S12" i="20" s="1"/>
  <c r="B12" i="20"/>
  <c r="Q11" i="20"/>
  <c r="C11" i="20"/>
  <c r="D11" i="20" s="1"/>
  <c r="B11" i="20"/>
  <c r="Q10" i="20"/>
  <c r="C10" i="20"/>
  <c r="S10" i="20" s="1"/>
  <c r="B10" i="20"/>
  <c r="C9" i="20"/>
  <c r="S9" i="20" s="1"/>
  <c r="B9" i="20"/>
  <c r="Q8" i="20"/>
  <c r="C8" i="20"/>
  <c r="S8" i="20" s="1"/>
  <c r="B8" i="20"/>
  <c r="Q7" i="20"/>
  <c r="C7" i="20"/>
  <c r="D7" i="20" s="1"/>
  <c r="B7" i="20"/>
  <c r="Q6" i="20"/>
  <c r="C6" i="20"/>
  <c r="D6" i="20" s="1"/>
  <c r="B6" i="20"/>
  <c r="D4" i="20"/>
  <c r="D3" i="20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C91" i="18"/>
  <c r="D91" i="18" s="1"/>
  <c r="B91" i="18"/>
  <c r="M91" i="18"/>
  <c r="C90" i="18"/>
  <c r="O90" i="18" s="1"/>
  <c r="B90" i="18"/>
  <c r="M90" i="18"/>
  <c r="C89" i="18"/>
  <c r="D89" i="18" s="1"/>
  <c r="B89" i="18"/>
  <c r="M89" i="18"/>
  <c r="C88" i="18"/>
  <c r="O88" i="18" s="1"/>
  <c r="B88" i="18"/>
  <c r="M88" i="18"/>
  <c r="C87" i="18"/>
  <c r="O87" i="18" s="1"/>
  <c r="B87" i="18"/>
  <c r="M87" i="18"/>
  <c r="C86" i="18"/>
  <c r="O86" i="18" s="1"/>
  <c r="B86" i="18"/>
  <c r="M86" i="18"/>
  <c r="C80" i="18"/>
  <c r="K80" i="18" s="1"/>
  <c r="B80" i="18"/>
  <c r="K79" i="18"/>
  <c r="J79" i="18"/>
  <c r="C79" i="18"/>
  <c r="D79" i="18" s="1"/>
  <c r="B79" i="18"/>
  <c r="D78" i="18"/>
  <c r="O77" i="18"/>
  <c r="AP77" i="18" s="1"/>
  <c r="N77" i="18"/>
  <c r="AO77" i="18" s="1"/>
  <c r="L77" i="18"/>
  <c r="B77" i="18"/>
  <c r="AP76" i="18"/>
  <c r="AO76" i="18"/>
  <c r="M76" i="18"/>
  <c r="B76" i="18"/>
  <c r="O75" i="18"/>
  <c r="AP75" i="18" s="1"/>
  <c r="N75" i="18"/>
  <c r="AO75" i="18" s="1"/>
  <c r="L75" i="18"/>
  <c r="B75" i="18"/>
  <c r="O74" i="18"/>
  <c r="AP74" i="18" s="1"/>
  <c r="N74" i="18"/>
  <c r="M74" i="18" s="1"/>
  <c r="L74" i="18"/>
  <c r="B74" i="18"/>
  <c r="O73" i="18"/>
  <c r="AP73" i="18" s="1"/>
  <c r="N73" i="18"/>
  <c r="AO73" i="18" s="1"/>
  <c r="M73" i="18"/>
  <c r="L73" i="18"/>
  <c r="B73" i="18"/>
  <c r="AT72" i="18"/>
  <c r="AP72" i="18"/>
  <c r="AO72" i="18"/>
  <c r="M72" i="18"/>
  <c r="B72" i="18"/>
  <c r="O71" i="18"/>
  <c r="N71" i="18"/>
  <c r="AO71" i="18" s="1"/>
  <c r="L71" i="18"/>
  <c r="C71" i="18"/>
  <c r="D71" i="18" s="1"/>
  <c r="B71" i="18"/>
  <c r="AT70" i="18"/>
  <c r="AP70" i="18"/>
  <c r="AO70" i="18"/>
  <c r="M70" i="18"/>
  <c r="C70" i="18"/>
  <c r="D70" i="18" s="1"/>
  <c r="B70" i="18"/>
  <c r="A70" i="18"/>
  <c r="AT69" i="18"/>
  <c r="D69" i="18"/>
  <c r="C69" i="18"/>
  <c r="AV69" i="18" s="1"/>
  <c r="B69" i="18"/>
  <c r="D68" i="18"/>
  <c r="AT67" i="18"/>
  <c r="AP67" i="18"/>
  <c r="AO67" i="18"/>
  <c r="M67" i="18"/>
  <c r="B67" i="18"/>
  <c r="AT66" i="18"/>
  <c r="AP66" i="18"/>
  <c r="AO66" i="18"/>
  <c r="M66" i="18"/>
  <c r="B66" i="18"/>
  <c r="D65" i="18"/>
  <c r="C59" i="18"/>
  <c r="S59" i="18" s="1"/>
  <c r="B59" i="18"/>
  <c r="C58" i="18"/>
  <c r="S58" i="18" s="1"/>
  <c r="B58" i="18"/>
  <c r="C57" i="18"/>
  <c r="D57" i="18" s="1"/>
  <c r="B57" i="18"/>
  <c r="C56" i="18"/>
  <c r="S56" i="18" s="1"/>
  <c r="B56" i="18"/>
  <c r="C55" i="18"/>
  <c r="D55" i="18" s="1"/>
  <c r="B55" i="18"/>
  <c r="C54" i="18"/>
  <c r="S54" i="18" s="1"/>
  <c r="B54" i="18"/>
  <c r="C53" i="18"/>
  <c r="S53" i="18" s="1"/>
  <c r="B53" i="18"/>
  <c r="C52" i="18"/>
  <c r="S52" i="18" s="1"/>
  <c r="B52" i="18"/>
  <c r="C51" i="18"/>
  <c r="S51" i="18" s="1"/>
  <c r="B51" i="18"/>
  <c r="C50" i="18"/>
  <c r="S50" i="18" s="1"/>
  <c r="B50" i="18"/>
  <c r="C49" i="18"/>
  <c r="D49" i="18" s="1"/>
  <c r="B49" i="18"/>
  <c r="C48" i="18"/>
  <c r="S48" i="18" s="1"/>
  <c r="B48" i="18"/>
  <c r="C47" i="18"/>
  <c r="D47" i="18" s="1"/>
  <c r="B47" i="18"/>
  <c r="C46" i="18"/>
  <c r="S46" i="18" s="1"/>
  <c r="B46" i="18"/>
  <c r="C45" i="18"/>
  <c r="S45" i="18" s="1"/>
  <c r="B45" i="18"/>
  <c r="Q44" i="18"/>
  <c r="B44" i="18"/>
  <c r="B43" i="18"/>
  <c r="Q42" i="18"/>
  <c r="B42" i="18"/>
  <c r="Q41" i="18"/>
  <c r="B41" i="18"/>
  <c r="B40" i="18"/>
  <c r="Q39" i="18"/>
  <c r="B39" i="18"/>
  <c r="Q38" i="18"/>
  <c r="B38" i="18"/>
  <c r="Q37" i="18"/>
  <c r="C37" i="18"/>
  <c r="S37" i="18" s="1"/>
  <c r="B37" i="18"/>
  <c r="Q36" i="18"/>
  <c r="C36" i="18"/>
  <c r="S36" i="18" s="1"/>
  <c r="B36" i="18"/>
  <c r="Q35" i="18"/>
  <c r="C35" i="18"/>
  <c r="S35" i="18" s="1"/>
  <c r="B35" i="18"/>
  <c r="Q34" i="18"/>
  <c r="C34" i="18"/>
  <c r="S34" i="18" s="1"/>
  <c r="B34" i="18"/>
  <c r="Q33" i="18"/>
  <c r="C33" i="18"/>
  <c r="D33" i="18" s="1"/>
  <c r="B33" i="18"/>
  <c r="Q32" i="18"/>
  <c r="C32" i="18"/>
  <c r="S32" i="18" s="1"/>
  <c r="B32" i="18"/>
  <c r="Q31" i="18"/>
  <c r="C31" i="18"/>
  <c r="D31" i="18" s="1"/>
  <c r="B31" i="18"/>
  <c r="Q30" i="18"/>
  <c r="C30" i="18"/>
  <c r="S30" i="18" s="1"/>
  <c r="B30" i="18"/>
  <c r="Q29" i="18"/>
  <c r="C29" i="18"/>
  <c r="S29" i="18" s="1"/>
  <c r="B29" i="18"/>
  <c r="Q28" i="18"/>
  <c r="C28" i="18"/>
  <c r="S28" i="18" s="1"/>
  <c r="B28" i="18"/>
  <c r="Q27" i="18"/>
  <c r="C27" i="18"/>
  <c r="S27" i="18" s="1"/>
  <c r="B27" i="18"/>
  <c r="C26" i="18"/>
  <c r="S26" i="18" s="1"/>
  <c r="B26" i="18"/>
  <c r="C25" i="18"/>
  <c r="D25" i="18" s="1"/>
  <c r="B25" i="18"/>
  <c r="C24" i="18"/>
  <c r="S24" i="18" s="1"/>
  <c r="B24" i="18"/>
  <c r="C23" i="18"/>
  <c r="D23" i="18" s="1"/>
  <c r="B23" i="18"/>
  <c r="Q22" i="18"/>
  <c r="C22" i="18"/>
  <c r="S22" i="18" s="1"/>
  <c r="B22" i="18"/>
  <c r="Q21" i="18"/>
  <c r="C21" i="18"/>
  <c r="S21" i="18" s="1"/>
  <c r="B21" i="18"/>
  <c r="Q20" i="18"/>
  <c r="C20" i="18"/>
  <c r="S20" i="18" s="1"/>
  <c r="B20" i="18"/>
  <c r="Q19" i="18"/>
  <c r="C19" i="18"/>
  <c r="S19" i="18" s="1"/>
  <c r="B19" i="18"/>
  <c r="Q18" i="18"/>
  <c r="C18" i="18"/>
  <c r="S18" i="18" s="1"/>
  <c r="B18" i="18"/>
  <c r="Q17" i="18"/>
  <c r="C17" i="18"/>
  <c r="D17" i="18" s="1"/>
  <c r="B17" i="18"/>
  <c r="Q16" i="18"/>
  <c r="C16" i="18"/>
  <c r="S16" i="18" s="1"/>
  <c r="B16" i="18"/>
  <c r="C15" i="18"/>
  <c r="D15" i="18" s="1"/>
  <c r="B15" i="18"/>
  <c r="C14" i="18"/>
  <c r="S14" i="18" s="1"/>
  <c r="B14" i="18"/>
  <c r="C13" i="18"/>
  <c r="S13" i="18" s="1"/>
  <c r="B13" i="18"/>
  <c r="C12" i="18"/>
  <c r="S12" i="18" s="1"/>
  <c r="B12" i="18"/>
  <c r="C11" i="18"/>
  <c r="S11" i="18" s="1"/>
  <c r="B11" i="18"/>
  <c r="Q10" i="18"/>
  <c r="C10" i="18"/>
  <c r="S10" i="18" s="1"/>
  <c r="B10" i="18"/>
  <c r="Q9" i="18"/>
  <c r="C9" i="18"/>
  <c r="D9" i="18" s="1"/>
  <c r="B9" i="18"/>
  <c r="Q8" i="18"/>
  <c r="C8" i="18"/>
  <c r="D8" i="18" s="1"/>
  <c r="B8" i="18"/>
  <c r="C5" i="18"/>
  <c r="C73" i="18" s="1"/>
  <c r="B5" i="18"/>
  <c r="D3" i="18"/>
  <c r="K88" i="17"/>
  <c r="K89" i="17"/>
  <c r="K90" i="17"/>
  <c r="K91" i="17"/>
  <c r="K87" i="17"/>
  <c r="C90" i="17"/>
  <c r="D90" i="17" s="1"/>
  <c r="C58" i="17"/>
  <c r="C53" i="17"/>
  <c r="S53" i="17" s="1"/>
  <c r="C48" i="17"/>
  <c r="S48" i="17" s="1"/>
  <c r="C14" i="17"/>
  <c r="S14" i="17" s="1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C91" i="17"/>
  <c r="O91" i="17" s="1"/>
  <c r="B91" i="17"/>
  <c r="M91" i="17"/>
  <c r="B90" i="17"/>
  <c r="M90" i="17"/>
  <c r="C89" i="17"/>
  <c r="O89" i="17" s="1"/>
  <c r="B89" i="17"/>
  <c r="M89" i="17"/>
  <c r="C88" i="17"/>
  <c r="O88" i="17" s="1"/>
  <c r="B88" i="17"/>
  <c r="M88" i="17"/>
  <c r="C87" i="17"/>
  <c r="O87" i="17" s="1"/>
  <c r="B87" i="17"/>
  <c r="M87" i="17"/>
  <c r="C86" i="17"/>
  <c r="D86" i="17" s="1"/>
  <c r="B86" i="17"/>
  <c r="M86" i="17"/>
  <c r="C80" i="17"/>
  <c r="J80" i="17" s="1"/>
  <c r="B80" i="17"/>
  <c r="K79" i="17"/>
  <c r="J79" i="17"/>
  <c r="C79" i="17"/>
  <c r="D79" i="17" s="1"/>
  <c r="B79" i="17"/>
  <c r="D78" i="17"/>
  <c r="O77" i="17"/>
  <c r="AP77" i="17" s="1"/>
  <c r="N77" i="17"/>
  <c r="AO77" i="17" s="1"/>
  <c r="L77" i="17"/>
  <c r="B77" i="17"/>
  <c r="AP76" i="17"/>
  <c r="AO76" i="17"/>
  <c r="M76" i="17"/>
  <c r="B76" i="17"/>
  <c r="O75" i="17"/>
  <c r="AP75" i="17" s="1"/>
  <c r="N75" i="17"/>
  <c r="AO75" i="17" s="1"/>
  <c r="L75" i="17"/>
  <c r="B75" i="17"/>
  <c r="O74" i="17"/>
  <c r="AP74" i="17" s="1"/>
  <c r="N74" i="17"/>
  <c r="AO74" i="17" s="1"/>
  <c r="L74" i="17"/>
  <c r="B74" i="17"/>
  <c r="O73" i="17"/>
  <c r="AP73" i="17" s="1"/>
  <c r="N73" i="17"/>
  <c r="L73" i="17"/>
  <c r="B73" i="17"/>
  <c r="AT72" i="17"/>
  <c r="AP72" i="17"/>
  <c r="AO72" i="17"/>
  <c r="M72" i="17"/>
  <c r="B72" i="17"/>
  <c r="O71" i="17"/>
  <c r="N71" i="17"/>
  <c r="L71" i="17"/>
  <c r="C71" i="17"/>
  <c r="AV71" i="17" s="1"/>
  <c r="B71" i="17"/>
  <c r="AT70" i="17"/>
  <c r="AP70" i="17"/>
  <c r="AO70" i="17"/>
  <c r="M70" i="17"/>
  <c r="C70" i="17"/>
  <c r="AV70" i="17" s="1"/>
  <c r="B70" i="17"/>
  <c r="AT69" i="17"/>
  <c r="C69" i="17"/>
  <c r="B69" i="17"/>
  <c r="D68" i="17"/>
  <c r="AT67" i="17"/>
  <c r="AP67" i="17"/>
  <c r="AO67" i="17"/>
  <c r="M67" i="17"/>
  <c r="B67" i="17"/>
  <c r="AT66" i="17"/>
  <c r="AP66" i="17"/>
  <c r="AO66" i="17"/>
  <c r="M66" i="17"/>
  <c r="B66" i="17"/>
  <c r="D65" i="17"/>
  <c r="C59" i="17"/>
  <c r="D59" i="17" s="1"/>
  <c r="B59" i="17"/>
  <c r="B58" i="17"/>
  <c r="C57" i="17"/>
  <c r="D57" i="17" s="1"/>
  <c r="B57" i="17"/>
  <c r="C56" i="17"/>
  <c r="S56" i="17" s="1"/>
  <c r="B56" i="17"/>
  <c r="C55" i="17"/>
  <c r="S55" i="17" s="1"/>
  <c r="B55" i="17"/>
  <c r="C54" i="17"/>
  <c r="S54" i="17" s="1"/>
  <c r="B54" i="17"/>
  <c r="B53" i="17"/>
  <c r="C52" i="17"/>
  <c r="B52" i="17"/>
  <c r="C51" i="17"/>
  <c r="D51" i="17" s="1"/>
  <c r="B51" i="17"/>
  <c r="C50" i="17"/>
  <c r="D50" i="17" s="1"/>
  <c r="B50" i="17"/>
  <c r="C49" i="17"/>
  <c r="S49" i="17" s="1"/>
  <c r="B49" i="17"/>
  <c r="B48" i="17"/>
  <c r="C47" i="17"/>
  <c r="S47" i="17" s="1"/>
  <c r="B47" i="17"/>
  <c r="C46" i="17"/>
  <c r="S46" i="17" s="1"/>
  <c r="B46" i="17"/>
  <c r="C45" i="17"/>
  <c r="D45" i="17" s="1"/>
  <c r="B45" i="17"/>
  <c r="Q44" i="17"/>
  <c r="B44" i="17"/>
  <c r="B43" i="17"/>
  <c r="Q42" i="17"/>
  <c r="B42" i="17"/>
  <c r="Q41" i="17"/>
  <c r="B41" i="17"/>
  <c r="B40" i="17"/>
  <c r="Q39" i="17"/>
  <c r="B39" i="17"/>
  <c r="Q38" i="17"/>
  <c r="B38" i="17"/>
  <c r="Q37" i="17"/>
  <c r="C37" i="17"/>
  <c r="S37" i="17" s="1"/>
  <c r="B37" i="17"/>
  <c r="Q36" i="17"/>
  <c r="C36" i="17"/>
  <c r="D36" i="17" s="1"/>
  <c r="B36" i="17"/>
  <c r="Q35" i="17"/>
  <c r="C35" i="17"/>
  <c r="S35" i="17" s="1"/>
  <c r="B35" i="17"/>
  <c r="Q34" i="17"/>
  <c r="C34" i="17"/>
  <c r="B34" i="17"/>
  <c r="Q33" i="17"/>
  <c r="C33" i="17"/>
  <c r="S33" i="17" s="1"/>
  <c r="B33" i="17"/>
  <c r="Q32" i="17"/>
  <c r="C32" i="17"/>
  <c r="D32" i="17" s="1"/>
  <c r="B32" i="17"/>
  <c r="Q31" i="17"/>
  <c r="C31" i="17"/>
  <c r="D31" i="17" s="1"/>
  <c r="B31" i="17"/>
  <c r="Q30" i="17"/>
  <c r="C30" i="17"/>
  <c r="D30" i="17" s="1"/>
  <c r="B30" i="17"/>
  <c r="Q29" i="17"/>
  <c r="C29" i="17"/>
  <c r="S29" i="17" s="1"/>
  <c r="B29" i="17"/>
  <c r="Q28" i="17"/>
  <c r="C28" i="17"/>
  <c r="S28" i="17" s="1"/>
  <c r="B28" i="17"/>
  <c r="Q27" i="17"/>
  <c r="C27" i="17"/>
  <c r="S27" i="17" s="1"/>
  <c r="B27" i="17"/>
  <c r="C26" i="17"/>
  <c r="B26" i="17"/>
  <c r="C25" i="17"/>
  <c r="S25" i="17" s="1"/>
  <c r="B25" i="17"/>
  <c r="C24" i="17"/>
  <c r="D24" i="17" s="1"/>
  <c r="B24" i="17"/>
  <c r="C23" i="17"/>
  <c r="S23" i="17" s="1"/>
  <c r="B23" i="17"/>
  <c r="Q22" i="17"/>
  <c r="C22" i="17"/>
  <c r="S22" i="17" s="1"/>
  <c r="B22" i="17"/>
  <c r="Q21" i="17"/>
  <c r="C21" i="17"/>
  <c r="S21" i="17" s="1"/>
  <c r="B21" i="17"/>
  <c r="Q20" i="17"/>
  <c r="C20" i="17"/>
  <c r="S20" i="17" s="1"/>
  <c r="B20" i="17"/>
  <c r="Q19" i="17"/>
  <c r="C19" i="17"/>
  <c r="S19" i="17" s="1"/>
  <c r="B19" i="17"/>
  <c r="Q18" i="17"/>
  <c r="C18" i="17"/>
  <c r="S18" i="17" s="1"/>
  <c r="B18" i="17"/>
  <c r="Q17" i="17"/>
  <c r="C17" i="17"/>
  <c r="D17" i="17" s="1"/>
  <c r="B17" i="17"/>
  <c r="Q16" i="17"/>
  <c r="C16" i="17"/>
  <c r="S16" i="17" s="1"/>
  <c r="B16" i="17"/>
  <c r="C15" i="17"/>
  <c r="B15" i="17"/>
  <c r="B14" i="17"/>
  <c r="C13" i="17"/>
  <c r="B13" i="17"/>
  <c r="C12" i="17"/>
  <c r="S12" i="17" s="1"/>
  <c r="B12" i="17"/>
  <c r="C11" i="17"/>
  <c r="D11" i="17" s="1"/>
  <c r="B11" i="17"/>
  <c r="Q10" i="17"/>
  <c r="C10" i="17"/>
  <c r="S10" i="17" s="1"/>
  <c r="B10" i="17"/>
  <c r="Q9" i="17"/>
  <c r="C9" i="17"/>
  <c r="S9" i="17" s="1"/>
  <c r="B9" i="17"/>
  <c r="Q8" i="17"/>
  <c r="C8" i="17"/>
  <c r="S8" i="17" s="1"/>
  <c r="B8" i="17"/>
  <c r="C5" i="17"/>
  <c r="B5" i="17"/>
  <c r="D4" i="17"/>
  <c r="D3" i="17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C72" i="16"/>
  <c r="D72" i="16" s="1"/>
  <c r="B72" i="16"/>
  <c r="M72" i="16"/>
  <c r="C71" i="16"/>
  <c r="D71" i="16" s="1"/>
  <c r="B71" i="16"/>
  <c r="M71" i="16"/>
  <c r="C70" i="16"/>
  <c r="D70" i="16" s="1"/>
  <c r="B70" i="16"/>
  <c r="M70" i="16"/>
  <c r="C69" i="16"/>
  <c r="O69" i="16" s="1"/>
  <c r="B69" i="16"/>
  <c r="M69" i="16"/>
  <c r="C68" i="16"/>
  <c r="O68" i="16" s="1"/>
  <c r="B68" i="16"/>
  <c r="M68" i="16"/>
  <c r="C67" i="16"/>
  <c r="O67" i="16" s="1"/>
  <c r="B67" i="16"/>
  <c r="M67" i="16"/>
  <c r="K61" i="16"/>
  <c r="J61" i="16"/>
  <c r="C61" i="16"/>
  <c r="D61" i="16" s="1"/>
  <c r="B61" i="16"/>
  <c r="D60" i="16"/>
  <c r="AT59" i="16"/>
  <c r="C59" i="16"/>
  <c r="AV59" i="16" s="1"/>
  <c r="B59" i="16"/>
  <c r="D58" i="16"/>
  <c r="C52" i="16"/>
  <c r="S52" i="16" s="1"/>
  <c r="B52" i="16"/>
  <c r="C51" i="16"/>
  <c r="D51" i="16" s="1"/>
  <c r="B51" i="16"/>
  <c r="C50" i="16"/>
  <c r="D50" i="16" s="1"/>
  <c r="B50" i="16"/>
  <c r="C49" i="16"/>
  <c r="D49" i="16" s="1"/>
  <c r="B49" i="16"/>
  <c r="C48" i="16"/>
  <c r="S48" i="16" s="1"/>
  <c r="B48" i="16"/>
  <c r="C47" i="16"/>
  <c r="S47" i="16" s="1"/>
  <c r="B47" i="16"/>
  <c r="C46" i="16"/>
  <c r="S46" i="16" s="1"/>
  <c r="B46" i="16"/>
  <c r="C45" i="16"/>
  <c r="D45" i="16" s="1"/>
  <c r="B45" i="16"/>
  <c r="C44" i="16"/>
  <c r="S44" i="16" s="1"/>
  <c r="B44" i="16"/>
  <c r="C43" i="16"/>
  <c r="D43" i="16" s="1"/>
  <c r="B43" i="16"/>
  <c r="C42" i="16"/>
  <c r="S42" i="16" s="1"/>
  <c r="B42" i="16"/>
  <c r="C41" i="16"/>
  <c r="D41" i="16" s="1"/>
  <c r="B41" i="16"/>
  <c r="C40" i="16"/>
  <c r="S40" i="16" s="1"/>
  <c r="B40" i="16"/>
  <c r="C39" i="16"/>
  <c r="S39" i="16" s="1"/>
  <c r="B39" i="16"/>
  <c r="C38" i="16"/>
  <c r="S38" i="16" s="1"/>
  <c r="B38" i="16"/>
  <c r="C37" i="16"/>
  <c r="D37" i="16" s="1"/>
  <c r="B37" i="16"/>
  <c r="Q36" i="16"/>
  <c r="C36" i="16"/>
  <c r="D36" i="16" s="1"/>
  <c r="B36" i="16"/>
  <c r="Q35" i="16"/>
  <c r="C35" i="16"/>
  <c r="D35" i="16" s="1"/>
  <c r="B35" i="16"/>
  <c r="Q34" i="16"/>
  <c r="C34" i="16"/>
  <c r="S34" i="16" s="1"/>
  <c r="B34" i="16"/>
  <c r="Q33" i="16"/>
  <c r="C33" i="16"/>
  <c r="D33" i="16" s="1"/>
  <c r="B33" i="16"/>
  <c r="Q32" i="16"/>
  <c r="C32" i="16"/>
  <c r="S32" i="16" s="1"/>
  <c r="B32" i="16"/>
  <c r="Q31" i="16"/>
  <c r="C31" i="16"/>
  <c r="S31" i="16" s="1"/>
  <c r="B31" i="16"/>
  <c r="Q30" i="16"/>
  <c r="C30" i="16"/>
  <c r="S30" i="16" s="1"/>
  <c r="B30" i="16"/>
  <c r="Q29" i="16"/>
  <c r="C29" i="16"/>
  <c r="D29" i="16" s="1"/>
  <c r="B29" i="16"/>
  <c r="Q28" i="16"/>
  <c r="C28" i="16"/>
  <c r="D28" i="16" s="1"/>
  <c r="B28" i="16"/>
  <c r="Q27" i="16"/>
  <c r="C27" i="16"/>
  <c r="D27" i="16" s="1"/>
  <c r="B27" i="16"/>
  <c r="S26" i="16"/>
  <c r="Q26" i="16"/>
  <c r="C26" i="16"/>
  <c r="D26" i="16" s="1"/>
  <c r="B26" i="16"/>
  <c r="C25" i="16"/>
  <c r="D25" i="16" s="1"/>
  <c r="B25" i="16"/>
  <c r="C24" i="16"/>
  <c r="S24" i="16" s="1"/>
  <c r="B24" i="16"/>
  <c r="C23" i="16"/>
  <c r="D23" i="16" s="1"/>
  <c r="B23" i="16"/>
  <c r="C22" i="16"/>
  <c r="S22" i="16" s="1"/>
  <c r="B22" i="16"/>
  <c r="Q21" i="16"/>
  <c r="C21" i="16"/>
  <c r="D21" i="16" s="1"/>
  <c r="B21" i="16"/>
  <c r="Q20" i="16"/>
  <c r="C20" i="16"/>
  <c r="S20" i="16" s="1"/>
  <c r="B20" i="16"/>
  <c r="S19" i="16"/>
  <c r="Q19" i="16"/>
  <c r="C19" i="16"/>
  <c r="D19" i="16" s="1"/>
  <c r="B19" i="16"/>
  <c r="Q18" i="16"/>
  <c r="C18" i="16"/>
  <c r="S18" i="16" s="1"/>
  <c r="B18" i="16"/>
  <c r="Q17" i="16"/>
  <c r="C17" i="16"/>
  <c r="D17" i="16" s="1"/>
  <c r="B17" i="16"/>
  <c r="Q16" i="16"/>
  <c r="C16" i="16"/>
  <c r="S16" i="16" s="1"/>
  <c r="B16" i="16"/>
  <c r="Q15" i="16"/>
  <c r="C15" i="16"/>
  <c r="S15" i="16" s="1"/>
  <c r="B15" i="16"/>
  <c r="C14" i="16"/>
  <c r="S14" i="16" s="1"/>
  <c r="B14" i="16"/>
  <c r="C13" i="16"/>
  <c r="D13" i="16" s="1"/>
  <c r="B13" i="16"/>
  <c r="C12" i="16"/>
  <c r="S12" i="16" s="1"/>
  <c r="B12" i="16"/>
  <c r="C11" i="16"/>
  <c r="D11" i="16" s="1"/>
  <c r="B11" i="16"/>
  <c r="C10" i="16"/>
  <c r="D10" i="16" s="1"/>
  <c r="B10" i="16"/>
  <c r="Q9" i="16"/>
  <c r="C9" i="16"/>
  <c r="D9" i="16" s="1"/>
  <c r="B9" i="16"/>
  <c r="Q8" i="16"/>
  <c r="C8" i="16"/>
  <c r="S8" i="16" s="1"/>
  <c r="B8" i="16"/>
  <c r="Q7" i="16"/>
  <c r="O7" i="16"/>
  <c r="O32" i="16" s="1"/>
  <c r="C7" i="16"/>
  <c r="D7" i="16" s="1"/>
  <c r="B7" i="16"/>
  <c r="D4" i="16"/>
  <c r="D3" i="16"/>
  <c r="B3" i="16"/>
  <c r="B26" i="15"/>
  <c r="C26" i="15"/>
  <c r="D26" i="15" s="1"/>
  <c r="Q26" i="15"/>
  <c r="O7" i="15"/>
  <c r="O38" i="15" s="1"/>
  <c r="C54" i="6"/>
  <c r="C53" i="6"/>
  <c r="C52" i="6"/>
  <c r="O52" i="6" s="1"/>
  <c r="C30" i="6"/>
  <c r="D30" i="6" s="1"/>
  <c r="C27" i="6"/>
  <c r="S27" i="6" s="1"/>
  <c r="C24" i="6"/>
  <c r="C71" i="15"/>
  <c r="D71" i="15" s="1"/>
  <c r="C51" i="15"/>
  <c r="S51" i="15" s="1"/>
  <c r="C46" i="15"/>
  <c r="C40" i="15"/>
  <c r="S40" i="15" s="1"/>
  <c r="C13" i="15"/>
  <c r="S13" i="15" s="1"/>
  <c r="B3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C72" i="15"/>
  <c r="B72" i="15"/>
  <c r="M72" i="15"/>
  <c r="B71" i="15"/>
  <c r="M71" i="15"/>
  <c r="C70" i="15"/>
  <c r="B70" i="15"/>
  <c r="M70" i="15"/>
  <c r="C69" i="15"/>
  <c r="D69" i="15" s="1"/>
  <c r="B69" i="15"/>
  <c r="M69" i="15"/>
  <c r="C68" i="15"/>
  <c r="O68" i="15" s="1"/>
  <c r="B68" i="15"/>
  <c r="M68" i="15"/>
  <c r="C67" i="15"/>
  <c r="D67" i="15" s="1"/>
  <c r="B67" i="15"/>
  <c r="M67" i="15"/>
  <c r="K61" i="15"/>
  <c r="J61" i="15"/>
  <c r="C61" i="15"/>
  <c r="D61" i="15" s="1"/>
  <c r="B61" i="15"/>
  <c r="D60" i="15"/>
  <c r="AT59" i="15"/>
  <c r="C59" i="15"/>
  <c r="D59" i="15" s="1"/>
  <c r="B59" i="15"/>
  <c r="D58" i="15"/>
  <c r="C52" i="15"/>
  <c r="D52" i="15" s="1"/>
  <c r="B52" i="15"/>
  <c r="B51" i="15"/>
  <c r="C50" i="15"/>
  <c r="D50" i="15" s="1"/>
  <c r="B50" i="15"/>
  <c r="C49" i="15"/>
  <c r="B49" i="15"/>
  <c r="C48" i="15"/>
  <c r="S48" i="15" s="1"/>
  <c r="B48" i="15"/>
  <c r="C47" i="15"/>
  <c r="D47" i="15" s="1"/>
  <c r="B47" i="15"/>
  <c r="B46" i="15"/>
  <c r="C45" i="15"/>
  <c r="D45" i="15" s="1"/>
  <c r="B45" i="15"/>
  <c r="C44" i="15"/>
  <c r="D44" i="15" s="1"/>
  <c r="B44" i="15"/>
  <c r="C43" i="15"/>
  <c r="S43" i="15" s="1"/>
  <c r="B43" i="15"/>
  <c r="C42" i="15"/>
  <c r="S42" i="15" s="1"/>
  <c r="B42" i="15"/>
  <c r="C41" i="15"/>
  <c r="S41" i="15" s="1"/>
  <c r="B41" i="15"/>
  <c r="B40" i="15"/>
  <c r="C39" i="15"/>
  <c r="S39" i="15" s="1"/>
  <c r="B39" i="15"/>
  <c r="C38" i="15"/>
  <c r="S38" i="15" s="1"/>
  <c r="B38" i="15"/>
  <c r="C37" i="15"/>
  <c r="D37" i="15" s="1"/>
  <c r="B37" i="15"/>
  <c r="Q36" i="15"/>
  <c r="C36" i="15"/>
  <c r="S36" i="15" s="1"/>
  <c r="B36" i="15"/>
  <c r="Q35" i="15"/>
  <c r="C35" i="15"/>
  <c r="D35" i="15" s="1"/>
  <c r="B35" i="15"/>
  <c r="Q34" i="15"/>
  <c r="C34" i="15"/>
  <c r="S34" i="15" s="1"/>
  <c r="B34" i="15"/>
  <c r="Q33" i="15"/>
  <c r="C33" i="15"/>
  <c r="D33" i="15" s="1"/>
  <c r="B33" i="15"/>
  <c r="Q32" i="15"/>
  <c r="C32" i="15"/>
  <c r="D32" i="15" s="1"/>
  <c r="B32" i="15"/>
  <c r="Q31" i="15"/>
  <c r="C31" i="15"/>
  <c r="D31" i="15" s="1"/>
  <c r="B31" i="15"/>
  <c r="Q30" i="15"/>
  <c r="C30" i="15"/>
  <c r="S30" i="15" s="1"/>
  <c r="B30" i="15"/>
  <c r="Q29" i="15"/>
  <c r="C29" i="15"/>
  <c r="S29" i="15" s="1"/>
  <c r="B29" i="15"/>
  <c r="Q28" i="15"/>
  <c r="C28" i="15"/>
  <c r="S28" i="15" s="1"/>
  <c r="B28" i="15"/>
  <c r="Q27" i="15"/>
  <c r="C27" i="15"/>
  <c r="D27" i="15" s="1"/>
  <c r="B27" i="15"/>
  <c r="C25" i="15"/>
  <c r="D25" i="15" s="1"/>
  <c r="B25" i="15"/>
  <c r="C24" i="15"/>
  <c r="D24" i="15" s="1"/>
  <c r="B24" i="15"/>
  <c r="C23" i="15"/>
  <c r="D23" i="15" s="1"/>
  <c r="B23" i="15"/>
  <c r="C22" i="15"/>
  <c r="S22" i="15" s="1"/>
  <c r="B22" i="15"/>
  <c r="Q21" i="15"/>
  <c r="C21" i="15"/>
  <c r="S21" i="15" s="1"/>
  <c r="B21" i="15"/>
  <c r="Q20" i="15"/>
  <c r="C20" i="15"/>
  <c r="S20" i="15" s="1"/>
  <c r="B20" i="15"/>
  <c r="Q19" i="15"/>
  <c r="C19" i="15"/>
  <c r="D19" i="15" s="1"/>
  <c r="B19" i="15"/>
  <c r="Q18" i="15"/>
  <c r="C18" i="15"/>
  <c r="D18" i="15" s="1"/>
  <c r="B18" i="15"/>
  <c r="Q17" i="15"/>
  <c r="C17" i="15"/>
  <c r="D17" i="15" s="1"/>
  <c r="B17" i="15"/>
  <c r="Q16" i="15"/>
  <c r="C16" i="15"/>
  <c r="D16" i="15" s="1"/>
  <c r="B16" i="15"/>
  <c r="Q15" i="15"/>
  <c r="C15" i="15"/>
  <c r="D15" i="15" s="1"/>
  <c r="B15" i="15"/>
  <c r="C14" i="15"/>
  <c r="D14" i="15" s="1"/>
  <c r="B14" i="15"/>
  <c r="B13" i="15"/>
  <c r="C12" i="15"/>
  <c r="D12" i="15" s="1"/>
  <c r="B12" i="15"/>
  <c r="C11" i="15"/>
  <c r="S11" i="15" s="1"/>
  <c r="B11" i="15"/>
  <c r="C10" i="15"/>
  <c r="D10" i="15" s="1"/>
  <c r="B10" i="15"/>
  <c r="Q9" i="15"/>
  <c r="C9" i="15"/>
  <c r="S9" i="15" s="1"/>
  <c r="B9" i="15"/>
  <c r="Q8" i="15"/>
  <c r="C8" i="15"/>
  <c r="S8" i="15" s="1"/>
  <c r="B8" i="15"/>
  <c r="Q7" i="15"/>
  <c r="C7" i="15"/>
  <c r="D7" i="15" s="1"/>
  <c r="D3" i="15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K52" i="14"/>
  <c r="C52" i="14"/>
  <c r="D52" i="14" s="1"/>
  <c r="B52" i="14"/>
  <c r="M52" i="14"/>
  <c r="K51" i="14"/>
  <c r="C51" i="14"/>
  <c r="O51" i="14" s="1"/>
  <c r="B51" i="14"/>
  <c r="M51" i="14"/>
  <c r="C50" i="14"/>
  <c r="O50" i="14" s="1"/>
  <c r="B50" i="14"/>
  <c r="M50" i="14"/>
  <c r="D49" i="14"/>
  <c r="D48" i="14"/>
  <c r="D47" i="14"/>
  <c r="C46" i="14"/>
  <c r="D46" i="14" s="1"/>
  <c r="B46" i="14"/>
  <c r="O44" i="14"/>
  <c r="AP44" i="14" s="1"/>
  <c r="N44" i="14"/>
  <c r="M44" i="14" s="1"/>
  <c r="L44" i="14"/>
  <c r="C44" i="14"/>
  <c r="D44" i="14" s="1"/>
  <c r="B44" i="14"/>
  <c r="AP43" i="14"/>
  <c r="AO43" i="14"/>
  <c r="M43" i="14"/>
  <c r="C43" i="14"/>
  <c r="AV43" i="14" s="1"/>
  <c r="B43" i="14"/>
  <c r="AP42" i="14"/>
  <c r="AO42" i="14"/>
  <c r="M42" i="14"/>
  <c r="C42" i="14"/>
  <c r="AV42" i="14" s="1"/>
  <c r="B42" i="14"/>
  <c r="O41" i="14"/>
  <c r="AP41" i="14" s="1"/>
  <c r="N41" i="14"/>
  <c r="M41" i="14" s="1"/>
  <c r="L41" i="14"/>
  <c r="C41" i="14"/>
  <c r="AV41" i="14" s="1"/>
  <c r="B41" i="14"/>
  <c r="O40" i="14"/>
  <c r="AP40" i="14" s="1"/>
  <c r="N40" i="14"/>
  <c r="AO40" i="14" s="1"/>
  <c r="L40" i="14"/>
  <c r="C40" i="14"/>
  <c r="AV40" i="14" s="1"/>
  <c r="B40" i="14"/>
  <c r="O39" i="14"/>
  <c r="AP39" i="14" s="1"/>
  <c r="N39" i="14"/>
  <c r="AO39" i="14" s="1"/>
  <c r="L39" i="14"/>
  <c r="C39" i="14"/>
  <c r="AV39" i="14" s="1"/>
  <c r="B39" i="14"/>
  <c r="O38" i="14"/>
  <c r="AP38" i="14" s="1"/>
  <c r="N38" i="14"/>
  <c r="AO38" i="14" s="1"/>
  <c r="L38" i="14"/>
  <c r="C38" i="14"/>
  <c r="AV38" i="14" s="1"/>
  <c r="B38" i="14"/>
  <c r="O37" i="14"/>
  <c r="AP37" i="14" s="1"/>
  <c r="N37" i="14"/>
  <c r="AO37" i="14" s="1"/>
  <c r="L37" i="14"/>
  <c r="C37" i="14"/>
  <c r="D37" i="14" s="1"/>
  <c r="B37" i="14"/>
  <c r="O36" i="14"/>
  <c r="AP36" i="14" s="1"/>
  <c r="N36" i="14"/>
  <c r="AO36" i="14" s="1"/>
  <c r="L36" i="14"/>
  <c r="C36" i="14"/>
  <c r="AV36" i="14" s="1"/>
  <c r="B36" i="14"/>
  <c r="AT35" i="14"/>
  <c r="AP35" i="14"/>
  <c r="AO35" i="14"/>
  <c r="M35" i="14"/>
  <c r="C35" i="14"/>
  <c r="D35" i="14" s="1"/>
  <c r="B35" i="14"/>
  <c r="AP34" i="14"/>
  <c r="AO34" i="14"/>
  <c r="M34" i="14"/>
  <c r="C34" i="14"/>
  <c r="D34" i="14" s="1"/>
  <c r="B34" i="14"/>
  <c r="AP33" i="14"/>
  <c r="AO33" i="14"/>
  <c r="M33" i="14"/>
  <c r="C33" i="14"/>
  <c r="AV33" i="14" s="1"/>
  <c r="B33" i="14"/>
  <c r="AT31" i="14"/>
  <c r="AP31" i="14"/>
  <c r="AO31" i="14"/>
  <c r="M31" i="14"/>
  <c r="C31" i="14"/>
  <c r="AV31" i="14" s="1"/>
  <c r="B31" i="14"/>
  <c r="AT30" i="14"/>
  <c r="AP30" i="14"/>
  <c r="AO30" i="14"/>
  <c r="M30" i="14"/>
  <c r="C30" i="14"/>
  <c r="D30" i="14" s="1"/>
  <c r="B30" i="14"/>
  <c r="Q28" i="14"/>
  <c r="C28" i="14"/>
  <c r="S28" i="14" s="1"/>
  <c r="B28" i="14"/>
  <c r="Q27" i="14"/>
  <c r="C27" i="14"/>
  <c r="D27" i="14" s="1"/>
  <c r="B27" i="14"/>
  <c r="Q26" i="14"/>
  <c r="C26" i="14"/>
  <c r="S26" i="14" s="1"/>
  <c r="B26" i="14"/>
  <c r="Q25" i="14"/>
  <c r="C25" i="14"/>
  <c r="S25" i="14" s="1"/>
  <c r="B25" i="14"/>
  <c r="Q24" i="14"/>
  <c r="C24" i="14"/>
  <c r="D24" i="14" s="1"/>
  <c r="B24" i="14"/>
  <c r="Q23" i="14"/>
  <c r="C23" i="14"/>
  <c r="S23" i="14" s="1"/>
  <c r="B23" i="14"/>
  <c r="C22" i="14"/>
  <c r="D22" i="14" s="1"/>
  <c r="B22" i="14"/>
  <c r="Q21" i="14"/>
  <c r="C21" i="14"/>
  <c r="S21" i="14" s="1"/>
  <c r="B21" i="14"/>
  <c r="Q20" i="14"/>
  <c r="C20" i="14"/>
  <c r="S20" i="14" s="1"/>
  <c r="B20" i="14"/>
  <c r="C19" i="14"/>
  <c r="S19" i="14" s="1"/>
  <c r="B19" i="14"/>
  <c r="C18" i="14"/>
  <c r="S18" i="14" s="1"/>
  <c r="B18" i="14"/>
  <c r="Q17" i="14"/>
  <c r="C17" i="14"/>
  <c r="S17" i="14" s="1"/>
  <c r="B17" i="14"/>
  <c r="Q16" i="14"/>
  <c r="C16" i="14"/>
  <c r="D16" i="14" s="1"/>
  <c r="B16" i="14"/>
  <c r="Q15" i="14"/>
  <c r="C15" i="14"/>
  <c r="S15" i="14" s="1"/>
  <c r="B15" i="14"/>
  <c r="Q14" i="14"/>
  <c r="C14" i="14"/>
  <c r="D14" i="14" s="1"/>
  <c r="B14" i="14"/>
  <c r="Q13" i="14"/>
  <c r="D13" i="14"/>
  <c r="C13" i="14"/>
  <c r="S13" i="14" s="1"/>
  <c r="B13" i="14"/>
  <c r="Q12" i="14"/>
  <c r="C12" i="14"/>
  <c r="S12" i="14" s="1"/>
  <c r="B12" i="14"/>
  <c r="Q11" i="14"/>
  <c r="C11" i="14"/>
  <c r="S11" i="14" s="1"/>
  <c r="B11" i="14"/>
  <c r="Q10" i="14"/>
  <c r="C10" i="14"/>
  <c r="S10" i="14" s="1"/>
  <c r="B10" i="14"/>
  <c r="C9" i="14"/>
  <c r="S9" i="14" s="1"/>
  <c r="B9" i="14"/>
  <c r="S8" i="14"/>
  <c r="C8" i="14"/>
  <c r="D8" i="14" s="1"/>
  <c r="B8" i="14"/>
  <c r="Q7" i="14"/>
  <c r="C7" i="14"/>
  <c r="S7" i="14" s="1"/>
  <c r="B7" i="14"/>
  <c r="Q6" i="14"/>
  <c r="O6" i="14"/>
  <c r="O23" i="14" s="1"/>
  <c r="C6" i="14"/>
  <c r="D6" i="14" s="1"/>
  <c r="D3" i="14"/>
  <c r="B3" i="14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K52" i="13"/>
  <c r="C52" i="13"/>
  <c r="D52" i="13" s="1"/>
  <c r="B52" i="13"/>
  <c r="M52" i="13"/>
  <c r="K51" i="13"/>
  <c r="C51" i="13"/>
  <c r="O51" i="13" s="1"/>
  <c r="B51" i="13"/>
  <c r="M51" i="13"/>
  <c r="C50" i="13"/>
  <c r="O50" i="13" s="1"/>
  <c r="B50" i="13"/>
  <c r="M50" i="13"/>
  <c r="D49" i="13"/>
  <c r="D48" i="13"/>
  <c r="D47" i="13"/>
  <c r="C46" i="13"/>
  <c r="D46" i="13" s="1"/>
  <c r="B46" i="13"/>
  <c r="O44" i="13"/>
  <c r="AP44" i="13" s="1"/>
  <c r="N44" i="13"/>
  <c r="AO44" i="13" s="1"/>
  <c r="L44" i="13"/>
  <c r="C44" i="13"/>
  <c r="AV44" i="13" s="1"/>
  <c r="B44" i="13"/>
  <c r="AP43" i="13"/>
  <c r="AO43" i="13"/>
  <c r="M43" i="13"/>
  <c r="C43" i="13"/>
  <c r="D43" i="13" s="1"/>
  <c r="B43" i="13"/>
  <c r="AP42" i="13"/>
  <c r="AO42" i="13"/>
  <c r="M42" i="13"/>
  <c r="C42" i="13"/>
  <c r="D42" i="13" s="1"/>
  <c r="B42" i="13"/>
  <c r="O41" i="13"/>
  <c r="AP41" i="13" s="1"/>
  <c r="N41" i="13"/>
  <c r="M41" i="13" s="1"/>
  <c r="L41" i="13"/>
  <c r="C41" i="13"/>
  <c r="AV41" i="13" s="1"/>
  <c r="B41" i="13"/>
  <c r="O40" i="13"/>
  <c r="AP40" i="13" s="1"/>
  <c r="N40" i="13"/>
  <c r="AO40" i="13" s="1"/>
  <c r="L40" i="13"/>
  <c r="C40" i="13"/>
  <c r="AV40" i="13" s="1"/>
  <c r="B40" i="13"/>
  <c r="O39" i="13"/>
  <c r="AP39" i="13" s="1"/>
  <c r="N39" i="13"/>
  <c r="M39" i="13" s="1"/>
  <c r="L39" i="13"/>
  <c r="C39" i="13"/>
  <c r="AV39" i="13" s="1"/>
  <c r="B39" i="13"/>
  <c r="O38" i="13"/>
  <c r="AP38" i="13" s="1"/>
  <c r="N38" i="13"/>
  <c r="AO38" i="13" s="1"/>
  <c r="L38" i="13"/>
  <c r="C38" i="13"/>
  <c r="AV38" i="13" s="1"/>
  <c r="B38" i="13"/>
  <c r="O37" i="13"/>
  <c r="AP37" i="13" s="1"/>
  <c r="N37" i="13"/>
  <c r="M37" i="13" s="1"/>
  <c r="L37" i="13"/>
  <c r="C37" i="13"/>
  <c r="AV37" i="13" s="1"/>
  <c r="B37" i="13"/>
  <c r="O36" i="13"/>
  <c r="AP36" i="13" s="1"/>
  <c r="N36" i="13"/>
  <c r="AO36" i="13" s="1"/>
  <c r="L36" i="13"/>
  <c r="C36" i="13"/>
  <c r="D36" i="13" s="1"/>
  <c r="B36" i="13"/>
  <c r="AT35" i="13"/>
  <c r="AP35" i="13"/>
  <c r="AO35" i="13"/>
  <c r="M35" i="13"/>
  <c r="C35" i="13"/>
  <c r="D35" i="13" s="1"/>
  <c r="B35" i="13"/>
  <c r="AP34" i="13"/>
  <c r="AO34" i="13"/>
  <c r="M34" i="13"/>
  <c r="D34" i="13"/>
  <c r="C34" i="13"/>
  <c r="AV34" i="13" s="1"/>
  <c r="B34" i="13"/>
  <c r="AP33" i="13"/>
  <c r="AO33" i="13"/>
  <c r="M33" i="13"/>
  <c r="C33" i="13"/>
  <c r="D33" i="13" s="1"/>
  <c r="B33" i="13"/>
  <c r="AT31" i="13"/>
  <c r="AP31" i="13"/>
  <c r="AO31" i="13"/>
  <c r="M31" i="13"/>
  <c r="C31" i="13"/>
  <c r="D31" i="13" s="1"/>
  <c r="B31" i="13"/>
  <c r="AT30" i="13"/>
  <c r="AP30" i="13"/>
  <c r="AO30" i="13"/>
  <c r="M30" i="13"/>
  <c r="C30" i="13"/>
  <c r="D30" i="13" s="1"/>
  <c r="B30" i="13"/>
  <c r="Q28" i="13"/>
  <c r="C28" i="13"/>
  <c r="D28" i="13" s="1"/>
  <c r="B28" i="13"/>
  <c r="Q27" i="13"/>
  <c r="C27" i="13"/>
  <c r="S27" i="13" s="1"/>
  <c r="B27" i="13"/>
  <c r="S26" i="13"/>
  <c r="Q26" i="13"/>
  <c r="C26" i="13"/>
  <c r="D26" i="13" s="1"/>
  <c r="B26" i="13"/>
  <c r="Q25" i="13"/>
  <c r="C25" i="13"/>
  <c r="D25" i="13" s="1"/>
  <c r="B25" i="13"/>
  <c r="Q24" i="13"/>
  <c r="C24" i="13"/>
  <c r="D24" i="13" s="1"/>
  <c r="B24" i="13"/>
  <c r="Q23" i="13"/>
  <c r="C23" i="13"/>
  <c r="S23" i="13" s="1"/>
  <c r="B23" i="13"/>
  <c r="C22" i="13"/>
  <c r="S22" i="13" s="1"/>
  <c r="B22" i="13"/>
  <c r="Q21" i="13"/>
  <c r="C21" i="13"/>
  <c r="D21" i="13" s="1"/>
  <c r="B21" i="13"/>
  <c r="Q20" i="13"/>
  <c r="C20" i="13"/>
  <c r="D20" i="13" s="1"/>
  <c r="B20" i="13"/>
  <c r="C19" i="13"/>
  <c r="S19" i="13" s="1"/>
  <c r="B19" i="13"/>
  <c r="D18" i="13"/>
  <c r="C18" i="13"/>
  <c r="S18" i="13" s="1"/>
  <c r="B18" i="13"/>
  <c r="Q17" i="13"/>
  <c r="C17" i="13"/>
  <c r="D17" i="13" s="1"/>
  <c r="B17" i="13"/>
  <c r="Q16" i="13"/>
  <c r="C16" i="13"/>
  <c r="D16" i="13" s="1"/>
  <c r="B16" i="13"/>
  <c r="Q15" i="13"/>
  <c r="D15" i="13"/>
  <c r="C15" i="13"/>
  <c r="S15" i="13" s="1"/>
  <c r="B15" i="13"/>
  <c r="Q14" i="13"/>
  <c r="C14" i="13"/>
  <c r="S14" i="13" s="1"/>
  <c r="B14" i="13"/>
  <c r="S13" i="13"/>
  <c r="Q13" i="13"/>
  <c r="C13" i="13"/>
  <c r="D13" i="13" s="1"/>
  <c r="B13" i="13"/>
  <c r="Q12" i="13"/>
  <c r="C12" i="13"/>
  <c r="D12" i="13" s="1"/>
  <c r="B12" i="13"/>
  <c r="Q11" i="13"/>
  <c r="C11" i="13"/>
  <c r="D11" i="13" s="1"/>
  <c r="B11" i="13"/>
  <c r="Q10" i="13"/>
  <c r="C10" i="13"/>
  <c r="D10" i="13" s="1"/>
  <c r="B10" i="13"/>
  <c r="C9" i="13"/>
  <c r="D9" i="13" s="1"/>
  <c r="B9" i="13"/>
  <c r="C8" i="13"/>
  <c r="D8" i="13" s="1"/>
  <c r="B8" i="13"/>
  <c r="Q7" i="13"/>
  <c r="C7" i="13"/>
  <c r="S7" i="13" s="1"/>
  <c r="B7" i="13"/>
  <c r="Q6" i="13"/>
  <c r="O6" i="13"/>
  <c r="O27" i="13" s="1"/>
  <c r="C6" i="13"/>
  <c r="S6" i="13" s="1"/>
  <c r="B6" i="13"/>
  <c r="D4" i="13"/>
  <c r="D3" i="13"/>
  <c r="B3" i="13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K52" i="12"/>
  <c r="C52" i="12"/>
  <c r="D52" i="12" s="1"/>
  <c r="B52" i="12"/>
  <c r="M52" i="12"/>
  <c r="K51" i="12"/>
  <c r="C51" i="12"/>
  <c r="D51" i="12" s="1"/>
  <c r="B51" i="12"/>
  <c r="M51" i="12"/>
  <c r="C50" i="12"/>
  <c r="O50" i="12" s="1"/>
  <c r="B50" i="12"/>
  <c r="M50" i="12"/>
  <c r="D49" i="12"/>
  <c r="D48" i="12"/>
  <c r="D47" i="12"/>
  <c r="C46" i="12"/>
  <c r="D46" i="12" s="1"/>
  <c r="B46" i="12"/>
  <c r="O44" i="12"/>
  <c r="AP44" i="12" s="1"/>
  <c r="N44" i="12"/>
  <c r="AO44" i="12" s="1"/>
  <c r="L44" i="12"/>
  <c r="C44" i="12"/>
  <c r="AV44" i="12" s="1"/>
  <c r="B44" i="12"/>
  <c r="AP43" i="12"/>
  <c r="AO43" i="12"/>
  <c r="M43" i="12"/>
  <c r="C43" i="12"/>
  <c r="AV43" i="12" s="1"/>
  <c r="B43" i="12"/>
  <c r="AP42" i="12"/>
  <c r="AO42" i="12"/>
  <c r="M42" i="12"/>
  <c r="C42" i="12"/>
  <c r="D42" i="12" s="1"/>
  <c r="B42" i="12"/>
  <c r="O41" i="12"/>
  <c r="AP41" i="12" s="1"/>
  <c r="N41" i="12"/>
  <c r="M41" i="12" s="1"/>
  <c r="L41" i="12"/>
  <c r="C41" i="12"/>
  <c r="AV41" i="12" s="1"/>
  <c r="B41" i="12"/>
  <c r="O40" i="12"/>
  <c r="AP40" i="12" s="1"/>
  <c r="N40" i="12"/>
  <c r="AO40" i="12" s="1"/>
  <c r="L40" i="12"/>
  <c r="C40" i="12"/>
  <c r="AV40" i="12" s="1"/>
  <c r="B40" i="12"/>
  <c r="O39" i="12"/>
  <c r="AP39" i="12" s="1"/>
  <c r="N39" i="12"/>
  <c r="AO39" i="12" s="1"/>
  <c r="M39" i="12"/>
  <c r="L39" i="12"/>
  <c r="C39" i="12"/>
  <c r="AV39" i="12" s="1"/>
  <c r="B39" i="12"/>
  <c r="AO38" i="12"/>
  <c r="O38" i="12"/>
  <c r="AP38" i="12" s="1"/>
  <c r="N38" i="12"/>
  <c r="M38" i="12" s="1"/>
  <c r="L38" i="12"/>
  <c r="C38" i="12"/>
  <c r="AV38" i="12" s="1"/>
  <c r="B38" i="12"/>
  <c r="O37" i="12"/>
  <c r="AP37" i="12" s="1"/>
  <c r="N37" i="12"/>
  <c r="AO37" i="12" s="1"/>
  <c r="L37" i="12"/>
  <c r="C37" i="12"/>
  <c r="D37" i="12" s="1"/>
  <c r="B37" i="12"/>
  <c r="O36" i="12"/>
  <c r="AP36" i="12" s="1"/>
  <c r="N36" i="12"/>
  <c r="AO36" i="12" s="1"/>
  <c r="L36" i="12"/>
  <c r="C36" i="12"/>
  <c r="AV36" i="12" s="1"/>
  <c r="B36" i="12"/>
  <c r="AV35" i="12"/>
  <c r="AT35" i="12"/>
  <c r="AP35" i="12"/>
  <c r="AO35" i="12"/>
  <c r="M35" i="12"/>
  <c r="C35" i="12"/>
  <c r="D35" i="12" s="1"/>
  <c r="B35" i="12"/>
  <c r="AP34" i="12"/>
  <c r="AO34" i="12"/>
  <c r="M34" i="12"/>
  <c r="C34" i="12"/>
  <c r="AV34" i="12" s="1"/>
  <c r="B34" i="12"/>
  <c r="AP33" i="12"/>
  <c r="AO33" i="12"/>
  <c r="M33" i="12"/>
  <c r="C33" i="12"/>
  <c r="D33" i="12" s="1"/>
  <c r="B33" i="12"/>
  <c r="AT31" i="12"/>
  <c r="AP31" i="12"/>
  <c r="AO31" i="12"/>
  <c r="M31" i="12"/>
  <c r="C31" i="12"/>
  <c r="AV31" i="12" s="1"/>
  <c r="B31" i="12"/>
  <c r="AT30" i="12"/>
  <c r="AP30" i="12"/>
  <c r="AO30" i="12"/>
  <c r="M30" i="12"/>
  <c r="C30" i="12"/>
  <c r="D30" i="12" s="1"/>
  <c r="B30" i="12"/>
  <c r="Q28" i="12"/>
  <c r="C28" i="12"/>
  <c r="S28" i="12" s="1"/>
  <c r="B28" i="12"/>
  <c r="Q27" i="12"/>
  <c r="C27" i="12"/>
  <c r="S27" i="12" s="1"/>
  <c r="B27" i="12"/>
  <c r="Q26" i="12"/>
  <c r="C26" i="12"/>
  <c r="D26" i="12" s="1"/>
  <c r="B26" i="12"/>
  <c r="Q25" i="12"/>
  <c r="C25" i="12"/>
  <c r="S25" i="12" s="1"/>
  <c r="B25" i="12"/>
  <c r="Q24" i="12"/>
  <c r="C24" i="12"/>
  <c r="S24" i="12" s="1"/>
  <c r="B24" i="12"/>
  <c r="Q23" i="12"/>
  <c r="C23" i="12"/>
  <c r="S23" i="12" s="1"/>
  <c r="B23" i="12"/>
  <c r="C22" i="12"/>
  <c r="D22" i="12" s="1"/>
  <c r="B22" i="12"/>
  <c r="Q21" i="12"/>
  <c r="C21" i="12"/>
  <c r="S21" i="12" s="1"/>
  <c r="B21" i="12"/>
  <c r="Q20" i="12"/>
  <c r="C20" i="12"/>
  <c r="S20" i="12" s="1"/>
  <c r="B20" i="12"/>
  <c r="D19" i="12"/>
  <c r="C19" i="12"/>
  <c r="S19" i="12" s="1"/>
  <c r="B19" i="12"/>
  <c r="C18" i="12"/>
  <c r="D18" i="12" s="1"/>
  <c r="B18" i="12"/>
  <c r="Q17" i="12"/>
  <c r="C17" i="12"/>
  <c r="S17" i="12" s="1"/>
  <c r="B17" i="12"/>
  <c r="Q16" i="12"/>
  <c r="C16" i="12"/>
  <c r="S16" i="12" s="1"/>
  <c r="B16" i="12"/>
  <c r="Q15" i="12"/>
  <c r="C15" i="12"/>
  <c r="D15" i="12" s="1"/>
  <c r="B15" i="12"/>
  <c r="Q14" i="12"/>
  <c r="C14" i="12"/>
  <c r="D14" i="12" s="1"/>
  <c r="B14" i="12"/>
  <c r="Q13" i="12"/>
  <c r="C13" i="12"/>
  <c r="D13" i="12" s="1"/>
  <c r="B13" i="12"/>
  <c r="Q12" i="12"/>
  <c r="C12" i="12"/>
  <c r="S12" i="12" s="1"/>
  <c r="B12" i="12"/>
  <c r="Q11" i="12"/>
  <c r="C11" i="12"/>
  <c r="S11" i="12" s="1"/>
  <c r="B11" i="12"/>
  <c r="Q10" i="12"/>
  <c r="C10" i="12"/>
  <c r="D10" i="12" s="1"/>
  <c r="B10" i="12"/>
  <c r="C9" i="12"/>
  <c r="S9" i="12" s="1"/>
  <c r="B9" i="12"/>
  <c r="C8" i="12"/>
  <c r="D8" i="12" s="1"/>
  <c r="B8" i="12"/>
  <c r="Q7" i="12"/>
  <c r="C7" i="12"/>
  <c r="S7" i="12" s="1"/>
  <c r="B7" i="12"/>
  <c r="Q6" i="12"/>
  <c r="O6" i="12"/>
  <c r="O23" i="12" s="1"/>
  <c r="C6" i="12"/>
  <c r="D6" i="12" s="1"/>
  <c r="B6" i="12"/>
  <c r="D4" i="12"/>
  <c r="D3" i="12"/>
  <c r="B3" i="12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K52" i="11"/>
  <c r="C52" i="11"/>
  <c r="D52" i="11" s="1"/>
  <c r="B52" i="11"/>
  <c r="M52" i="11"/>
  <c r="K51" i="11"/>
  <c r="C51" i="11"/>
  <c r="O51" i="11" s="1"/>
  <c r="B51" i="11"/>
  <c r="M51" i="11"/>
  <c r="C50" i="11"/>
  <c r="O50" i="11" s="1"/>
  <c r="B50" i="11"/>
  <c r="M50" i="11"/>
  <c r="D49" i="11"/>
  <c r="D48" i="11"/>
  <c r="D47" i="11"/>
  <c r="C46" i="11"/>
  <c r="D46" i="11" s="1"/>
  <c r="B46" i="11"/>
  <c r="O44" i="11"/>
  <c r="AP44" i="11" s="1"/>
  <c r="N44" i="11"/>
  <c r="AO44" i="11" s="1"/>
  <c r="L44" i="11"/>
  <c r="C44" i="11"/>
  <c r="D44" i="11" s="1"/>
  <c r="B44" i="11"/>
  <c r="AP43" i="11"/>
  <c r="AO43" i="11"/>
  <c r="M43" i="11"/>
  <c r="C43" i="11"/>
  <c r="D43" i="11" s="1"/>
  <c r="B43" i="11"/>
  <c r="AP42" i="11"/>
  <c r="AO42" i="11"/>
  <c r="M42" i="11"/>
  <c r="C42" i="11"/>
  <c r="AV42" i="11" s="1"/>
  <c r="B42" i="11"/>
  <c r="O41" i="11"/>
  <c r="AP41" i="11" s="1"/>
  <c r="N41" i="11"/>
  <c r="M41" i="11" s="1"/>
  <c r="L41" i="11"/>
  <c r="C41" i="11"/>
  <c r="AV41" i="11" s="1"/>
  <c r="B41" i="11"/>
  <c r="O40" i="11"/>
  <c r="AP40" i="11" s="1"/>
  <c r="N40" i="11"/>
  <c r="AO40" i="11" s="1"/>
  <c r="L40" i="11"/>
  <c r="C40" i="11"/>
  <c r="AV40" i="11" s="1"/>
  <c r="B40" i="11"/>
  <c r="O39" i="11"/>
  <c r="AP39" i="11" s="1"/>
  <c r="N39" i="11"/>
  <c r="AO39" i="11" s="1"/>
  <c r="L39" i="11"/>
  <c r="C39" i="11"/>
  <c r="D39" i="11" s="1"/>
  <c r="B39" i="11"/>
  <c r="O38" i="11"/>
  <c r="AP38" i="11" s="1"/>
  <c r="N38" i="11"/>
  <c r="AO38" i="11" s="1"/>
  <c r="M38" i="11"/>
  <c r="L38" i="11"/>
  <c r="C38" i="11"/>
  <c r="D38" i="11" s="1"/>
  <c r="B38" i="11"/>
  <c r="O37" i="11"/>
  <c r="AP37" i="11" s="1"/>
  <c r="N37" i="11"/>
  <c r="AO37" i="11" s="1"/>
  <c r="L37" i="11"/>
  <c r="C37" i="11"/>
  <c r="D37" i="11" s="1"/>
  <c r="B37" i="11"/>
  <c r="O36" i="11"/>
  <c r="AP36" i="11" s="1"/>
  <c r="N36" i="11"/>
  <c r="AO36" i="11" s="1"/>
  <c r="L36" i="11"/>
  <c r="C36" i="11"/>
  <c r="AV36" i="11" s="1"/>
  <c r="B36" i="11"/>
  <c r="AT35" i="11"/>
  <c r="AP35" i="11"/>
  <c r="AO35" i="11"/>
  <c r="M35" i="11"/>
  <c r="C35" i="11"/>
  <c r="AV35" i="11" s="1"/>
  <c r="B35" i="11"/>
  <c r="AP34" i="11"/>
  <c r="AO34" i="11"/>
  <c r="M34" i="11"/>
  <c r="C34" i="11"/>
  <c r="D34" i="11" s="1"/>
  <c r="B34" i="11"/>
  <c r="AP33" i="11"/>
  <c r="AO33" i="11"/>
  <c r="M33" i="11"/>
  <c r="C33" i="11"/>
  <c r="D33" i="11" s="1"/>
  <c r="B33" i="11"/>
  <c r="AT31" i="11"/>
  <c r="AP31" i="11"/>
  <c r="AO31" i="11"/>
  <c r="M31" i="11"/>
  <c r="C31" i="11"/>
  <c r="D31" i="11" s="1"/>
  <c r="B31" i="11"/>
  <c r="AT30" i="11"/>
  <c r="AP30" i="11"/>
  <c r="AO30" i="11"/>
  <c r="M30" i="11"/>
  <c r="C30" i="11"/>
  <c r="AV30" i="11" s="1"/>
  <c r="B30" i="11"/>
  <c r="S28" i="11"/>
  <c r="Q28" i="11"/>
  <c r="D28" i="11"/>
  <c r="C28" i="11"/>
  <c r="B28" i="11"/>
  <c r="Q27" i="11"/>
  <c r="C27" i="11"/>
  <c r="S27" i="11" s="1"/>
  <c r="B27" i="11"/>
  <c r="Q26" i="11"/>
  <c r="C26" i="11"/>
  <c r="S26" i="11" s="1"/>
  <c r="B26" i="11"/>
  <c r="Q25" i="11"/>
  <c r="C25" i="11"/>
  <c r="D25" i="11" s="1"/>
  <c r="B25" i="11"/>
  <c r="Q24" i="11"/>
  <c r="C24" i="11"/>
  <c r="S24" i="11" s="1"/>
  <c r="B24" i="11"/>
  <c r="Q23" i="11"/>
  <c r="C23" i="11"/>
  <c r="D23" i="11" s="1"/>
  <c r="B23" i="11"/>
  <c r="C22" i="11"/>
  <c r="D22" i="11" s="1"/>
  <c r="B22" i="11"/>
  <c r="Q21" i="11"/>
  <c r="C21" i="11"/>
  <c r="D21" i="11" s="1"/>
  <c r="B21" i="11"/>
  <c r="Q20" i="11"/>
  <c r="C20" i="11"/>
  <c r="S20" i="11" s="1"/>
  <c r="B20" i="11"/>
  <c r="C19" i="11"/>
  <c r="S19" i="11" s="1"/>
  <c r="B19" i="11"/>
  <c r="C18" i="11"/>
  <c r="S18" i="11" s="1"/>
  <c r="B18" i="11"/>
  <c r="Q17" i="11"/>
  <c r="C17" i="11"/>
  <c r="D17" i="11" s="1"/>
  <c r="B17" i="11"/>
  <c r="Q16" i="11"/>
  <c r="C16" i="11"/>
  <c r="S16" i="11" s="1"/>
  <c r="B16" i="11"/>
  <c r="Q15" i="11"/>
  <c r="C15" i="11"/>
  <c r="D15" i="11" s="1"/>
  <c r="B15" i="11"/>
  <c r="Q14" i="11"/>
  <c r="C14" i="11"/>
  <c r="S14" i="11" s="1"/>
  <c r="B14" i="11"/>
  <c r="Q13" i="11"/>
  <c r="C13" i="11"/>
  <c r="D13" i="11" s="1"/>
  <c r="B13" i="11"/>
  <c r="Q12" i="11"/>
  <c r="C12" i="11"/>
  <c r="D12" i="11" s="1"/>
  <c r="B12" i="11"/>
  <c r="Q11" i="11"/>
  <c r="C11" i="11"/>
  <c r="S11" i="11" s="1"/>
  <c r="B11" i="11"/>
  <c r="Q10" i="11"/>
  <c r="C10" i="11"/>
  <c r="S10" i="11" s="1"/>
  <c r="B10" i="11"/>
  <c r="C9" i="11"/>
  <c r="D9" i="11" s="1"/>
  <c r="B9" i="11"/>
  <c r="C8" i="11"/>
  <c r="S8" i="11" s="1"/>
  <c r="B8" i="11"/>
  <c r="Q7" i="11"/>
  <c r="C7" i="11"/>
  <c r="D7" i="11" s="1"/>
  <c r="B7" i="11"/>
  <c r="Q6" i="11"/>
  <c r="O6" i="11"/>
  <c r="O17" i="11" s="1"/>
  <c r="C6" i="11"/>
  <c r="S6" i="11" s="1"/>
  <c r="D3" i="11"/>
  <c r="B3" i="11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K54" i="10"/>
  <c r="C54" i="10"/>
  <c r="D54" i="10" s="1"/>
  <c r="B54" i="10"/>
  <c r="M54" i="10"/>
  <c r="K53" i="10"/>
  <c r="C53" i="10"/>
  <c r="O53" i="10" s="1"/>
  <c r="B53" i="10"/>
  <c r="M53" i="10"/>
  <c r="C52" i="10"/>
  <c r="D52" i="10" s="1"/>
  <c r="B52" i="10"/>
  <c r="M52" i="10"/>
  <c r="D51" i="10"/>
  <c r="D50" i="10"/>
  <c r="D49" i="10"/>
  <c r="C48" i="10"/>
  <c r="D48" i="10" s="1"/>
  <c r="B48" i="10"/>
  <c r="O46" i="10"/>
  <c r="AP46" i="10" s="1"/>
  <c r="N46" i="10"/>
  <c r="AO46" i="10" s="1"/>
  <c r="L46" i="10"/>
  <c r="C46" i="10"/>
  <c r="AV46" i="10" s="1"/>
  <c r="B46" i="10"/>
  <c r="AP45" i="10"/>
  <c r="AO45" i="10"/>
  <c r="M45" i="10"/>
  <c r="C45" i="10"/>
  <c r="D45" i="10" s="1"/>
  <c r="B45" i="10"/>
  <c r="AP44" i="10"/>
  <c r="AO44" i="10"/>
  <c r="M44" i="10"/>
  <c r="C44" i="10"/>
  <c r="AV44" i="10" s="1"/>
  <c r="B44" i="10"/>
  <c r="O43" i="10"/>
  <c r="AP43" i="10" s="1"/>
  <c r="N43" i="10"/>
  <c r="M43" i="10" s="1"/>
  <c r="L43" i="10"/>
  <c r="C43" i="10"/>
  <c r="AV43" i="10" s="1"/>
  <c r="B43" i="10"/>
  <c r="O42" i="10"/>
  <c r="AP42" i="10" s="1"/>
  <c r="N42" i="10"/>
  <c r="AO42" i="10" s="1"/>
  <c r="L42" i="10"/>
  <c r="C42" i="10"/>
  <c r="AV42" i="10" s="1"/>
  <c r="B42" i="10"/>
  <c r="AO41" i="10"/>
  <c r="O41" i="10"/>
  <c r="AP41" i="10" s="1"/>
  <c r="N41" i="10"/>
  <c r="M41" i="10" s="1"/>
  <c r="L41" i="10"/>
  <c r="C41" i="10"/>
  <c r="AV41" i="10" s="1"/>
  <c r="B41" i="10"/>
  <c r="AT40" i="10"/>
  <c r="AP40" i="10"/>
  <c r="AO40" i="10"/>
  <c r="M40" i="10"/>
  <c r="C40" i="10"/>
  <c r="D40" i="10" s="1"/>
  <c r="B40" i="10"/>
  <c r="O39" i="10"/>
  <c r="AP39" i="10" s="1"/>
  <c r="N39" i="10"/>
  <c r="AO39" i="10" s="1"/>
  <c r="L39" i="10"/>
  <c r="C39" i="10"/>
  <c r="AV39" i="10" s="1"/>
  <c r="B39" i="10"/>
  <c r="O38" i="10"/>
  <c r="AP38" i="10" s="1"/>
  <c r="N38" i="10"/>
  <c r="M38" i="10" s="1"/>
  <c r="L38" i="10"/>
  <c r="C38" i="10"/>
  <c r="D38" i="10" s="1"/>
  <c r="B38" i="10"/>
  <c r="O37" i="10"/>
  <c r="AP37" i="10" s="1"/>
  <c r="N37" i="10"/>
  <c r="M37" i="10" s="1"/>
  <c r="L37" i="10"/>
  <c r="C37" i="10"/>
  <c r="AV37" i="10" s="1"/>
  <c r="B37" i="10"/>
  <c r="AT36" i="10"/>
  <c r="AP36" i="10"/>
  <c r="AO36" i="10"/>
  <c r="M36" i="10"/>
  <c r="C36" i="10"/>
  <c r="D36" i="10" s="1"/>
  <c r="B36" i="10"/>
  <c r="AP35" i="10"/>
  <c r="AO35" i="10"/>
  <c r="M35" i="10"/>
  <c r="C35" i="10"/>
  <c r="D35" i="10" s="1"/>
  <c r="B35" i="10"/>
  <c r="AP34" i="10"/>
  <c r="AO34" i="10"/>
  <c r="M34" i="10"/>
  <c r="C34" i="10"/>
  <c r="AV34" i="10" s="1"/>
  <c r="B34" i="10"/>
  <c r="AT32" i="10"/>
  <c r="AP32" i="10"/>
  <c r="AO32" i="10"/>
  <c r="M32" i="10"/>
  <c r="C32" i="10"/>
  <c r="AV32" i="10" s="1"/>
  <c r="B32" i="10"/>
  <c r="AT31" i="10"/>
  <c r="AP31" i="10"/>
  <c r="AO31" i="10"/>
  <c r="M31" i="10"/>
  <c r="C31" i="10"/>
  <c r="AV31" i="10" s="1"/>
  <c r="B31" i="10"/>
  <c r="AT30" i="10"/>
  <c r="AP30" i="10"/>
  <c r="AO30" i="10"/>
  <c r="C30" i="10"/>
  <c r="D30" i="10" s="1"/>
  <c r="B30" i="10"/>
  <c r="Q28" i="10"/>
  <c r="C28" i="10"/>
  <c r="D28" i="10" s="1"/>
  <c r="B28" i="10"/>
  <c r="Q27" i="10"/>
  <c r="C27" i="10"/>
  <c r="S27" i="10" s="1"/>
  <c r="B27" i="10"/>
  <c r="Q26" i="10"/>
  <c r="C26" i="10"/>
  <c r="D26" i="10" s="1"/>
  <c r="B26" i="10"/>
  <c r="Q25" i="10"/>
  <c r="C25" i="10"/>
  <c r="S25" i="10" s="1"/>
  <c r="B25" i="10"/>
  <c r="Q24" i="10"/>
  <c r="C24" i="10"/>
  <c r="S24" i="10" s="1"/>
  <c r="B24" i="10"/>
  <c r="Q23" i="10"/>
  <c r="C23" i="10"/>
  <c r="S23" i="10" s="1"/>
  <c r="B23" i="10"/>
  <c r="C22" i="10"/>
  <c r="D22" i="10" s="1"/>
  <c r="B22" i="10"/>
  <c r="Q21" i="10"/>
  <c r="C21" i="10"/>
  <c r="S21" i="10" s="1"/>
  <c r="B21" i="10"/>
  <c r="Q20" i="10"/>
  <c r="C20" i="10"/>
  <c r="D20" i="10" s="1"/>
  <c r="B20" i="10"/>
  <c r="C19" i="10"/>
  <c r="S19" i="10" s="1"/>
  <c r="B19" i="10"/>
  <c r="C18" i="10"/>
  <c r="D18" i="10" s="1"/>
  <c r="B18" i="10"/>
  <c r="Q17" i="10"/>
  <c r="C17" i="10"/>
  <c r="S17" i="10" s="1"/>
  <c r="B17" i="10"/>
  <c r="Q16" i="10"/>
  <c r="C16" i="10"/>
  <c r="D16" i="10" s="1"/>
  <c r="B16" i="10"/>
  <c r="Q15" i="10"/>
  <c r="C15" i="10"/>
  <c r="S15" i="10" s="1"/>
  <c r="B15" i="10"/>
  <c r="Q14" i="10"/>
  <c r="C14" i="10"/>
  <c r="D14" i="10" s="1"/>
  <c r="B14" i="10"/>
  <c r="Q13" i="10"/>
  <c r="C13" i="10"/>
  <c r="S13" i="10" s="1"/>
  <c r="B13" i="10"/>
  <c r="Q12" i="10"/>
  <c r="C12" i="10"/>
  <c r="D12" i="10" s="1"/>
  <c r="B12" i="10"/>
  <c r="Q11" i="10"/>
  <c r="C11" i="10"/>
  <c r="S11" i="10" s="1"/>
  <c r="B11" i="10"/>
  <c r="Q10" i="10"/>
  <c r="C10" i="10"/>
  <c r="D10" i="10" s="1"/>
  <c r="B10" i="10"/>
  <c r="C9" i="10"/>
  <c r="S9" i="10" s="1"/>
  <c r="B9" i="10"/>
  <c r="C8" i="10"/>
  <c r="D8" i="10" s="1"/>
  <c r="B8" i="10"/>
  <c r="Q7" i="10"/>
  <c r="C7" i="10"/>
  <c r="S7" i="10" s="1"/>
  <c r="B7" i="10"/>
  <c r="Q6" i="10"/>
  <c r="O6" i="10"/>
  <c r="AR37" i="10" s="1"/>
  <c r="C6" i="10"/>
  <c r="D6" i="10" s="1"/>
  <c r="B6" i="10"/>
  <c r="D4" i="10"/>
  <c r="D3" i="10"/>
  <c r="B3" i="10"/>
  <c r="C30" i="9"/>
  <c r="AV30" i="9" s="1"/>
  <c r="C24" i="9"/>
  <c r="S24" i="9" s="1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K54" i="9"/>
  <c r="C54" i="9"/>
  <c r="D54" i="9" s="1"/>
  <c r="B54" i="9"/>
  <c r="M54" i="9"/>
  <c r="K53" i="9"/>
  <c r="C53" i="9"/>
  <c r="O53" i="9" s="1"/>
  <c r="B53" i="9"/>
  <c r="M53" i="9"/>
  <c r="C52" i="9"/>
  <c r="D52" i="9" s="1"/>
  <c r="B52" i="9"/>
  <c r="M52" i="9"/>
  <c r="D51" i="9"/>
  <c r="D50" i="9"/>
  <c r="D49" i="9"/>
  <c r="C48" i="9"/>
  <c r="D48" i="9" s="1"/>
  <c r="B48" i="9"/>
  <c r="O46" i="9"/>
  <c r="AP46" i="9" s="1"/>
  <c r="N46" i="9"/>
  <c r="AO46" i="9" s="1"/>
  <c r="L46" i="9"/>
  <c r="C46" i="9"/>
  <c r="AV46" i="9" s="1"/>
  <c r="B46" i="9"/>
  <c r="AP45" i="9"/>
  <c r="AO45" i="9"/>
  <c r="M45" i="9"/>
  <c r="C45" i="9"/>
  <c r="AV45" i="9" s="1"/>
  <c r="B45" i="9"/>
  <c r="AP44" i="9"/>
  <c r="AO44" i="9"/>
  <c r="M44" i="9"/>
  <c r="C44" i="9"/>
  <c r="D44" i="9" s="1"/>
  <c r="B44" i="9"/>
  <c r="O43" i="9"/>
  <c r="AP43" i="9" s="1"/>
  <c r="N43" i="9"/>
  <c r="M43" i="9" s="1"/>
  <c r="L43" i="9"/>
  <c r="C43" i="9"/>
  <c r="AV43" i="9" s="1"/>
  <c r="B43" i="9"/>
  <c r="O42" i="9"/>
  <c r="AP42" i="9" s="1"/>
  <c r="N42" i="9"/>
  <c r="AO42" i="9" s="1"/>
  <c r="L42" i="9"/>
  <c r="C42" i="9"/>
  <c r="AV42" i="9" s="1"/>
  <c r="B42" i="9"/>
  <c r="O41" i="9"/>
  <c r="AP41" i="9" s="1"/>
  <c r="N41" i="9"/>
  <c r="M41" i="9" s="1"/>
  <c r="L41" i="9"/>
  <c r="C41" i="9"/>
  <c r="AV41" i="9" s="1"/>
  <c r="B41" i="9"/>
  <c r="AT40" i="9"/>
  <c r="AP40" i="9"/>
  <c r="AO40" i="9"/>
  <c r="M40" i="9"/>
  <c r="C40" i="9"/>
  <c r="D40" i="9" s="1"/>
  <c r="B40" i="9"/>
  <c r="O39" i="9"/>
  <c r="AP39" i="9" s="1"/>
  <c r="N39" i="9"/>
  <c r="AO39" i="9" s="1"/>
  <c r="L39" i="9"/>
  <c r="C39" i="9"/>
  <c r="AV39" i="9" s="1"/>
  <c r="B39" i="9"/>
  <c r="O38" i="9"/>
  <c r="AP38" i="9" s="1"/>
  <c r="N38" i="9"/>
  <c r="M38" i="9" s="1"/>
  <c r="L38" i="9"/>
  <c r="C38" i="9"/>
  <c r="AV38" i="9" s="1"/>
  <c r="B38" i="9"/>
  <c r="O37" i="9"/>
  <c r="AP37" i="9" s="1"/>
  <c r="N37" i="9"/>
  <c r="M37" i="9" s="1"/>
  <c r="L37" i="9"/>
  <c r="C37" i="9"/>
  <c r="AV37" i="9" s="1"/>
  <c r="B37" i="9"/>
  <c r="AT36" i="9"/>
  <c r="AP36" i="9"/>
  <c r="AO36" i="9"/>
  <c r="M36" i="9"/>
  <c r="C36" i="9"/>
  <c r="D36" i="9" s="1"/>
  <c r="B36" i="9"/>
  <c r="AP35" i="9"/>
  <c r="AO35" i="9"/>
  <c r="M35" i="9"/>
  <c r="C35" i="9"/>
  <c r="D35" i="9" s="1"/>
  <c r="B35" i="9"/>
  <c r="AP34" i="9"/>
  <c r="AO34" i="9"/>
  <c r="M34" i="9"/>
  <c r="C34" i="9"/>
  <c r="D34" i="9" s="1"/>
  <c r="B34" i="9"/>
  <c r="AT32" i="9"/>
  <c r="AP32" i="9"/>
  <c r="AO32" i="9"/>
  <c r="M32" i="9"/>
  <c r="C32" i="9"/>
  <c r="AV32" i="9" s="1"/>
  <c r="B32" i="9"/>
  <c r="AT31" i="9"/>
  <c r="AP31" i="9"/>
  <c r="AO31" i="9"/>
  <c r="M31" i="9"/>
  <c r="C31" i="9"/>
  <c r="AV31" i="9" s="1"/>
  <c r="B31" i="9"/>
  <c r="AT30" i="9"/>
  <c r="AP30" i="9"/>
  <c r="AO30" i="9"/>
  <c r="B30" i="9"/>
  <c r="Q28" i="9"/>
  <c r="C28" i="9"/>
  <c r="D28" i="9" s="1"/>
  <c r="B28" i="9"/>
  <c r="Q27" i="9"/>
  <c r="C27" i="9"/>
  <c r="S27" i="9" s="1"/>
  <c r="B27" i="9"/>
  <c r="Q26" i="9"/>
  <c r="C26" i="9"/>
  <c r="D26" i="9" s="1"/>
  <c r="B26" i="9"/>
  <c r="Q25" i="9"/>
  <c r="C25" i="9"/>
  <c r="S25" i="9" s="1"/>
  <c r="B25" i="9"/>
  <c r="Q24" i="9"/>
  <c r="B24" i="9"/>
  <c r="Q23" i="9"/>
  <c r="C23" i="9"/>
  <c r="S23" i="9" s="1"/>
  <c r="B23" i="9"/>
  <c r="C22" i="9"/>
  <c r="S22" i="9" s="1"/>
  <c r="B22" i="9"/>
  <c r="Q21" i="9"/>
  <c r="C21" i="9"/>
  <c r="S21" i="9" s="1"/>
  <c r="B21" i="9"/>
  <c r="Q20" i="9"/>
  <c r="C20" i="9"/>
  <c r="D20" i="9" s="1"/>
  <c r="B20" i="9"/>
  <c r="C19" i="9"/>
  <c r="S19" i="9" s="1"/>
  <c r="B19" i="9"/>
  <c r="C18" i="9"/>
  <c r="D18" i="9" s="1"/>
  <c r="B18" i="9"/>
  <c r="Q17" i="9"/>
  <c r="C17" i="9"/>
  <c r="D17" i="9" s="1"/>
  <c r="B17" i="9"/>
  <c r="Q16" i="9"/>
  <c r="C16" i="9"/>
  <c r="D16" i="9" s="1"/>
  <c r="B16" i="9"/>
  <c r="Q15" i="9"/>
  <c r="C15" i="9"/>
  <c r="S15" i="9" s="1"/>
  <c r="B15" i="9"/>
  <c r="Q14" i="9"/>
  <c r="C14" i="9"/>
  <c r="S14" i="9" s="1"/>
  <c r="B14" i="9"/>
  <c r="Q13" i="9"/>
  <c r="C13" i="9"/>
  <c r="S13" i="9" s="1"/>
  <c r="B13" i="9"/>
  <c r="Q12" i="9"/>
  <c r="C12" i="9"/>
  <c r="D12" i="9" s="1"/>
  <c r="B12" i="9"/>
  <c r="Q11" i="9"/>
  <c r="C11" i="9"/>
  <c r="S11" i="9" s="1"/>
  <c r="B11" i="9"/>
  <c r="Q10" i="9"/>
  <c r="C10" i="9"/>
  <c r="D10" i="9" s="1"/>
  <c r="B10" i="9"/>
  <c r="C9" i="9"/>
  <c r="S9" i="9" s="1"/>
  <c r="B9" i="9"/>
  <c r="C8" i="9"/>
  <c r="D8" i="9" s="1"/>
  <c r="B8" i="9"/>
  <c r="Q7" i="9"/>
  <c r="C7" i="9"/>
  <c r="S7" i="9" s="1"/>
  <c r="B7" i="9"/>
  <c r="Q6" i="9"/>
  <c r="O6" i="9"/>
  <c r="AR37" i="9" s="1"/>
  <c r="C6" i="9"/>
  <c r="S6" i="9" s="1"/>
  <c r="D4" i="9"/>
  <c r="D3" i="9"/>
  <c r="B3" i="9"/>
  <c r="D90" i="8"/>
  <c r="K54" i="8"/>
  <c r="M54" i="8"/>
  <c r="K53" i="8"/>
  <c r="O53" i="8"/>
  <c r="M53" i="8"/>
  <c r="M52" i="8"/>
  <c r="O46" i="8"/>
  <c r="AP46" i="8" s="1"/>
  <c r="N46" i="8"/>
  <c r="AO46" i="8" s="1"/>
  <c r="L46" i="8"/>
  <c r="AV46" i="8"/>
  <c r="AP45" i="8"/>
  <c r="AO45" i="8"/>
  <c r="M45" i="8"/>
  <c r="AP44" i="8"/>
  <c r="AO44" i="8"/>
  <c r="M44" i="8"/>
  <c r="O43" i="8"/>
  <c r="AP43" i="8" s="1"/>
  <c r="N43" i="8"/>
  <c r="M43" i="8" s="1"/>
  <c r="L43" i="8"/>
  <c r="AV43" i="8"/>
  <c r="O42" i="8"/>
  <c r="AP42" i="8" s="1"/>
  <c r="N42" i="8"/>
  <c r="AO42" i="8" s="1"/>
  <c r="L42" i="8"/>
  <c r="AV42" i="8"/>
  <c r="O41" i="8"/>
  <c r="AP41" i="8" s="1"/>
  <c r="N41" i="8"/>
  <c r="M41" i="8" s="1"/>
  <c r="L41" i="8"/>
  <c r="AV41" i="8"/>
  <c r="AT40" i="8"/>
  <c r="AP40" i="8"/>
  <c r="AO40" i="8"/>
  <c r="M40" i="8"/>
  <c r="O39" i="8"/>
  <c r="AP39" i="8" s="1"/>
  <c r="N39" i="8"/>
  <c r="AO39" i="8" s="1"/>
  <c r="L39" i="8"/>
  <c r="AV39" i="8"/>
  <c r="O38" i="8"/>
  <c r="AP38" i="8" s="1"/>
  <c r="N38" i="8"/>
  <c r="M38" i="8" s="1"/>
  <c r="L38" i="8"/>
  <c r="AP37" i="8"/>
  <c r="O37" i="8"/>
  <c r="N37" i="8"/>
  <c r="AO37" i="8" s="1"/>
  <c r="M37" i="8"/>
  <c r="L37" i="8"/>
  <c r="AV37" i="8"/>
  <c r="AT36" i="8"/>
  <c r="AP36" i="8"/>
  <c r="AO36" i="8"/>
  <c r="M36" i="8"/>
  <c r="AV36" i="8"/>
  <c r="AP35" i="8"/>
  <c r="AO35" i="8"/>
  <c r="M35" i="8"/>
  <c r="AP34" i="8"/>
  <c r="AO34" i="8"/>
  <c r="M34" i="8"/>
  <c r="AV34" i="8"/>
  <c r="AT32" i="8"/>
  <c r="AP32" i="8"/>
  <c r="AO32" i="8"/>
  <c r="M32" i="8"/>
  <c r="AT31" i="8"/>
  <c r="AP31" i="8"/>
  <c r="AO31" i="8"/>
  <c r="M31" i="8"/>
  <c r="AV31" i="8"/>
  <c r="AV30" i="8"/>
  <c r="AT30" i="8"/>
  <c r="AP30" i="8"/>
  <c r="AO30" i="8"/>
  <c r="M30" i="8"/>
  <c r="Q28" i="8"/>
  <c r="S28" i="8"/>
  <c r="Q27" i="8"/>
  <c r="S27" i="8"/>
  <c r="Q26" i="8"/>
  <c r="Q25" i="8"/>
  <c r="Q24" i="8"/>
  <c r="S24" i="8"/>
  <c r="Q23" i="8"/>
  <c r="S23" i="8"/>
  <c r="Q21" i="8"/>
  <c r="S21" i="8"/>
  <c r="Q20" i="8"/>
  <c r="S20" i="8"/>
  <c r="S19" i="8"/>
  <c r="Q17" i="8"/>
  <c r="S17" i="8"/>
  <c r="Q16" i="8"/>
  <c r="S16" i="8"/>
  <c r="Q15" i="8"/>
  <c r="S15" i="8"/>
  <c r="Q14" i="8"/>
  <c r="Q13" i="8"/>
  <c r="S13" i="8"/>
  <c r="Q12" i="8"/>
  <c r="Q11" i="8"/>
  <c r="S11" i="8"/>
  <c r="Q10" i="8"/>
  <c r="S8" i="8"/>
  <c r="Q7" i="8"/>
  <c r="Q6" i="8"/>
  <c r="O6" i="8"/>
  <c r="O18" i="8" s="1"/>
  <c r="C30" i="2"/>
  <c r="D30" i="2" s="1"/>
  <c r="C24" i="2"/>
  <c r="D24" i="2" s="1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K54" i="6"/>
  <c r="O54" i="6"/>
  <c r="M54" i="6"/>
  <c r="K53" i="6"/>
  <c r="D53" i="6"/>
  <c r="M53" i="6"/>
  <c r="M52" i="6"/>
  <c r="D51" i="6"/>
  <c r="D50" i="6"/>
  <c r="D49" i="6"/>
  <c r="C48" i="6"/>
  <c r="D48" i="6" s="1"/>
  <c r="O46" i="6"/>
  <c r="AP46" i="6" s="1"/>
  <c r="N46" i="6"/>
  <c r="M46" i="6" s="1"/>
  <c r="L46" i="6"/>
  <c r="C46" i="6"/>
  <c r="D46" i="6" s="1"/>
  <c r="B46" i="6"/>
  <c r="AP45" i="6"/>
  <c r="AO45" i="6"/>
  <c r="M45" i="6"/>
  <c r="C45" i="6"/>
  <c r="D45" i="6" s="1"/>
  <c r="B45" i="6"/>
  <c r="AP44" i="6"/>
  <c r="AO44" i="6"/>
  <c r="M44" i="6"/>
  <c r="C44" i="6"/>
  <c r="D44" i="6" s="1"/>
  <c r="B44" i="6"/>
  <c r="O43" i="6"/>
  <c r="AP43" i="6" s="1"/>
  <c r="N43" i="6"/>
  <c r="AO43" i="6" s="1"/>
  <c r="L43" i="6"/>
  <c r="C43" i="6"/>
  <c r="D43" i="6" s="1"/>
  <c r="B43" i="6"/>
  <c r="O42" i="6"/>
  <c r="AP42" i="6" s="1"/>
  <c r="N42" i="6"/>
  <c r="M42" i="6" s="1"/>
  <c r="L42" i="6"/>
  <c r="C42" i="6"/>
  <c r="D42" i="6" s="1"/>
  <c r="B42" i="6"/>
  <c r="O41" i="6"/>
  <c r="AP41" i="6" s="1"/>
  <c r="N41" i="6"/>
  <c r="AO41" i="6" s="1"/>
  <c r="L41" i="6"/>
  <c r="C41" i="6"/>
  <c r="AV41" i="6" s="1"/>
  <c r="B41" i="6"/>
  <c r="AT40" i="6"/>
  <c r="AP40" i="6"/>
  <c r="AO40" i="6"/>
  <c r="M40" i="6"/>
  <c r="C40" i="6"/>
  <c r="AV40" i="6" s="1"/>
  <c r="B40" i="6"/>
  <c r="O39" i="6"/>
  <c r="AP39" i="6" s="1"/>
  <c r="N39" i="6"/>
  <c r="M39" i="6" s="1"/>
  <c r="L39" i="6"/>
  <c r="C39" i="6"/>
  <c r="D39" i="6" s="1"/>
  <c r="B39" i="6"/>
  <c r="O38" i="6"/>
  <c r="AP38" i="6" s="1"/>
  <c r="N38" i="6"/>
  <c r="AO38" i="6" s="1"/>
  <c r="L38" i="6"/>
  <c r="C38" i="6"/>
  <c r="AV38" i="6" s="1"/>
  <c r="B38" i="6"/>
  <c r="O37" i="6"/>
  <c r="AP37" i="6" s="1"/>
  <c r="N37" i="6"/>
  <c r="M37" i="6" s="1"/>
  <c r="L37" i="6"/>
  <c r="C37" i="6"/>
  <c r="AV37" i="6" s="1"/>
  <c r="B37" i="6"/>
  <c r="AT36" i="6"/>
  <c r="AP36" i="6"/>
  <c r="AO36" i="6"/>
  <c r="M36" i="6"/>
  <c r="C36" i="6"/>
  <c r="D36" i="6" s="1"/>
  <c r="B36" i="6"/>
  <c r="AP35" i="6"/>
  <c r="AO35" i="6"/>
  <c r="M35" i="6"/>
  <c r="C35" i="6"/>
  <c r="D35" i="6" s="1"/>
  <c r="B35" i="6"/>
  <c r="AP34" i="6"/>
  <c r="AO34" i="6"/>
  <c r="M34" i="6"/>
  <c r="C34" i="6"/>
  <c r="D34" i="6" s="1"/>
  <c r="B34" i="6"/>
  <c r="AT32" i="6"/>
  <c r="AP32" i="6"/>
  <c r="AO32" i="6"/>
  <c r="M32" i="6"/>
  <c r="C32" i="6"/>
  <c r="D32" i="6" s="1"/>
  <c r="B32" i="6"/>
  <c r="AT31" i="6"/>
  <c r="AP31" i="6"/>
  <c r="AO31" i="6"/>
  <c r="M31" i="6"/>
  <c r="C31" i="6"/>
  <c r="D31" i="6" s="1"/>
  <c r="B31" i="6"/>
  <c r="AT30" i="6"/>
  <c r="AP30" i="6"/>
  <c r="AO30" i="6"/>
  <c r="M30" i="6"/>
  <c r="B30" i="6"/>
  <c r="Q28" i="6"/>
  <c r="C28" i="6"/>
  <c r="D28" i="6" s="1"/>
  <c r="B28" i="6"/>
  <c r="Q27" i="6"/>
  <c r="B27" i="6"/>
  <c r="Q26" i="6"/>
  <c r="C26" i="6"/>
  <c r="D26" i="6" s="1"/>
  <c r="B26" i="6"/>
  <c r="Q25" i="6"/>
  <c r="C25" i="6"/>
  <c r="D25" i="6" s="1"/>
  <c r="B25" i="6"/>
  <c r="Q24" i="6"/>
  <c r="S24" i="6"/>
  <c r="B24" i="6"/>
  <c r="Q23" i="6"/>
  <c r="C23" i="6"/>
  <c r="D23" i="6" s="1"/>
  <c r="B23" i="6"/>
  <c r="C22" i="6"/>
  <c r="S22" i="6" s="1"/>
  <c r="B22" i="6"/>
  <c r="Q21" i="6"/>
  <c r="C21" i="6"/>
  <c r="D21" i="6" s="1"/>
  <c r="B21" i="6"/>
  <c r="Q20" i="6"/>
  <c r="C20" i="6"/>
  <c r="D20" i="6" s="1"/>
  <c r="B20" i="6"/>
  <c r="C19" i="6"/>
  <c r="D19" i="6" s="1"/>
  <c r="B19" i="6"/>
  <c r="C18" i="6"/>
  <c r="S18" i="6" s="1"/>
  <c r="B18" i="6"/>
  <c r="Q17" i="6"/>
  <c r="C17" i="6"/>
  <c r="D17" i="6" s="1"/>
  <c r="B17" i="6"/>
  <c r="Q16" i="6"/>
  <c r="C16" i="6"/>
  <c r="S16" i="6" s="1"/>
  <c r="B16" i="6"/>
  <c r="Q15" i="6"/>
  <c r="C15" i="6"/>
  <c r="D15" i="6" s="1"/>
  <c r="B15" i="6"/>
  <c r="Q14" i="6"/>
  <c r="C14" i="6"/>
  <c r="D14" i="6" s="1"/>
  <c r="B14" i="6"/>
  <c r="Q13" i="6"/>
  <c r="C13" i="6"/>
  <c r="D13" i="6" s="1"/>
  <c r="B13" i="6"/>
  <c r="Q12" i="6"/>
  <c r="C12" i="6"/>
  <c r="D12" i="6" s="1"/>
  <c r="B12" i="6"/>
  <c r="Q11" i="6"/>
  <c r="C11" i="6"/>
  <c r="D11" i="6" s="1"/>
  <c r="B11" i="6"/>
  <c r="Q10" i="6"/>
  <c r="C10" i="6"/>
  <c r="S10" i="6" s="1"/>
  <c r="B10" i="6"/>
  <c r="C9" i="6"/>
  <c r="D9" i="6" s="1"/>
  <c r="B9" i="6"/>
  <c r="C8" i="6"/>
  <c r="S8" i="6" s="1"/>
  <c r="B8" i="6"/>
  <c r="Q7" i="6"/>
  <c r="C7" i="6"/>
  <c r="D7" i="6" s="1"/>
  <c r="B7" i="6"/>
  <c r="Q6" i="6"/>
  <c r="O6" i="6"/>
  <c r="AR44" i="6" s="1"/>
  <c r="C6" i="6"/>
  <c r="S6" i="6" s="1"/>
  <c r="D4" i="6"/>
  <c r="D3" i="6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K52" i="4"/>
  <c r="C52" i="4"/>
  <c r="O52" i="4" s="1"/>
  <c r="B52" i="4"/>
  <c r="M52" i="4"/>
  <c r="K51" i="4"/>
  <c r="C51" i="4"/>
  <c r="D51" i="4" s="1"/>
  <c r="B51" i="4"/>
  <c r="M51" i="4"/>
  <c r="C50" i="4"/>
  <c r="O50" i="4" s="1"/>
  <c r="B50" i="4"/>
  <c r="M50" i="4"/>
  <c r="D49" i="4"/>
  <c r="D48" i="4"/>
  <c r="D47" i="4"/>
  <c r="C46" i="4"/>
  <c r="D46" i="4" s="1"/>
  <c r="B46" i="4"/>
  <c r="O44" i="4"/>
  <c r="AP44" i="4" s="1"/>
  <c r="N44" i="4"/>
  <c r="AO44" i="4" s="1"/>
  <c r="L44" i="4"/>
  <c r="C44" i="4"/>
  <c r="D44" i="4" s="1"/>
  <c r="B44" i="4"/>
  <c r="AP43" i="4"/>
  <c r="AO43" i="4"/>
  <c r="M43" i="4"/>
  <c r="C43" i="4"/>
  <c r="D43" i="4" s="1"/>
  <c r="B43" i="4"/>
  <c r="AP42" i="4"/>
  <c r="AO42" i="4"/>
  <c r="M42" i="4"/>
  <c r="C42" i="4"/>
  <c r="D42" i="4" s="1"/>
  <c r="B42" i="4"/>
  <c r="O41" i="4"/>
  <c r="AP41" i="4" s="1"/>
  <c r="N41" i="4"/>
  <c r="AO41" i="4" s="1"/>
  <c r="L41" i="4"/>
  <c r="C41" i="4"/>
  <c r="AV41" i="4" s="1"/>
  <c r="B41" i="4"/>
  <c r="O40" i="4"/>
  <c r="AP40" i="4" s="1"/>
  <c r="N40" i="4"/>
  <c r="AO40" i="4" s="1"/>
  <c r="L40" i="4"/>
  <c r="C40" i="4"/>
  <c r="D40" i="4" s="1"/>
  <c r="B40" i="4"/>
  <c r="O39" i="4"/>
  <c r="AP39" i="4" s="1"/>
  <c r="N39" i="4"/>
  <c r="AO39" i="4" s="1"/>
  <c r="L39" i="4"/>
  <c r="C39" i="4"/>
  <c r="AV39" i="4" s="1"/>
  <c r="B39" i="4"/>
  <c r="O38" i="4"/>
  <c r="AP38" i="4" s="1"/>
  <c r="N38" i="4"/>
  <c r="M38" i="4" s="1"/>
  <c r="L38" i="4"/>
  <c r="C38" i="4"/>
  <c r="AV38" i="4" s="1"/>
  <c r="B38" i="4"/>
  <c r="O37" i="4"/>
  <c r="AP37" i="4" s="1"/>
  <c r="N37" i="4"/>
  <c r="AO37" i="4" s="1"/>
  <c r="L37" i="4"/>
  <c r="C37" i="4"/>
  <c r="AV37" i="4" s="1"/>
  <c r="B37" i="4"/>
  <c r="O36" i="4"/>
  <c r="AP36" i="4" s="1"/>
  <c r="N36" i="4"/>
  <c r="M36" i="4" s="1"/>
  <c r="L36" i="4"/>
  <c r="C36" i="4"/>
  <c r="AV36" i="4" s="1"/>
  <c r="B36" i="4"/>
  <c r="AT35" i="4"/>
  <c r="AP35" i="4"/>
  <c r="AO35" i="4"/>
  <c r="M35" i="4"/>
  <c r="C35" i="4"/>
  <c r="D35" i="4" s="1"/>
  <c r="B35" i="4"/>
  <c r="AP34" i="4"/>
  <c r="AO34" i="4"/>
  <c r="M34" i="4"/>
  <c r="C34" i="4"/>
  <c r="D34" i="4" s="1"/>
  <c r="B34" i="4"/>
  <c r="AP33" i="4"/>
  <c r="AO33" i="4"/>
  <c r="M33" i="4"/>
  <c r="C33" i="4"/>
  <c r="D33" i="4" s="1"/>
  <c r="B33" i="4"/>
  <c r="AT31" i="4"/>
  <c r="AP31" i="4"/>
  <c r="AO31" i="4"/>
  <c r="M31" i="4"/>
  <c r="C31" i="4"/>
  <c r="D31" i="4" s="1"/>
  <c r="B31" i="4"/>
  <c r="AT30" i="4"/>
  <c r="AP30" i="4"/>
  <c r="AO30" i="4"/>
  <c r="M30" i="4"/>
  <c r="C30" i="4"/>
  <c r="D30" i="4" s="1"/>
  <c r="B30" i="4"/>
  <c r="Q28" i="4"/>
  <c r="C28" i="4"/>
  <c r="D28" i="4" s="1"/>
  <c r="B28" i="4"/>
  <c r="Q27" i="4"/>
  <c r="C27" i="4"/>
  <c r="S27" i="4" s="1"/>
  <c r="B27" i="4"/>
  <c r="Q26" i="4"/>
  <c r="C26" i="4"/>
  <c r="D26" i="4" s="1"/>
  <c r="B26" i="4"/>
  <c r="Q25" i="4"/>
  <c r="C25" i="4"/>
  <c r="S25" i="4" s="1"/>
  <c r="B25" i="4"/>
  <c r="Q24" i="4"/>
  <c r="C24" i="4"/>
  <c r="S24" i="4" s="1"/>
  <c r="B24" i="4"/>
  <c r="Q23" i="4"/>
  <c r="C23" i="4"/>
  <c r="D23" i="4" s="1"/>
  <c r="B23" i="4"/>
  <c r="C22" i="4"/>
  <c r="S22" i="4" s="1"/>
  <c r="B22" i="4"/>
  <c r="Q21" i="4"/>
  <c r="C21" i="4"/>
  <c r="S21" i="4" s="1"/>
  <c r="B21" i="4"/>
  <c r="Q20" i="4"/>
  <c r="C20" i="4"/>
  <c r="S20" i="4" s="1"/>
  <c r="B20" i="4"/>
  <c r="C19" i="4"/>
  <c r="D19" i="4" s="1"/>
  <c r="B19" i="4"/>
  <c r="C18" i="4"/>
  <c r="S18" i="4" s="1"/>
  <c r="B18" i="4"/>
  <c r="Q17" i="4"/>
  <c r="C17" i="4"/>
  <c r="D17" i="4" s="1"/>
  <c r="B17" i="4"/>
  <c r="Q16" i="4"/>
  <c r="C16" i="4"/>
  <c r="D16" i="4" s="1"/>
  <c r="B16" i="4"/>
  <c r="Q15" i="4"/>
  <c r="C15" i="4"/>
  <c r="S15" i="4" s="1"/>
  <c r="B15" i="4"/>
  <c r="Q14" i="4"/>
  <c r="C14" i="4"/>
  <c r="S14" i="4" s="1"/>
  <c r="B14" i="4"/>
  <c r="Q13" i="4"/>
  <c r="C13" i="4"/>
  <c r="S13" i="4" s="1"/>
  <c r="B13" i="4"/>
  <c r="Q12" i="4"/>
  <c r="C12" i="4"/>
  <c r="S12" i="4" s="1"/>
  <c r="B12" i="4"/>
  <c r="Q11" i="4"/>
  <c r="C11" i="4"/>
  <c r="D11" i="4" s="1"/>
  <c r="B11" i="4"/>
  <c r="Q10" i="4"/>
  <c r="C10" i="4"/>
  <c r="S10" i="4" s="1"/>
  <c r="B10" i="4"/>
  <c r="C9" i="4"/>
  <c r="D9" i="4" s="1"/>
  <c r="B9" i="4"/>
  <c r="C8" i="4"/>
  <c r="D8" i="4" s="1"/>
  <c r="B8" i="4"/>
  <c r="Q7" i="4"/>
  <c r="C7" i="4"/>
  <c r="S7" i="4" s="1"/>
  <c r="B7" i="4"/>
  <c r="Q6" i="4"/>
  <c r="O6" i="4"/>
  <c r="AR42" i="4" s="1"/>
  <c r="C6" i="4"/>
  <c r="S6" i="4" s="1"/>
  <c r="B6" i="4"/>
  <c r="D4" i="4"/>
  <c r="D3" i="4"/>
  <c r="B3" i="4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K54" i="3"/>
  <c r="C54" i="3"/>
  <c r="O54" i="3" s="1"/>
  <c r="B54" i="3"/>
  <c r="M54" i="3"/>
  <c r="K53" i="3"/>
  <c r="C53" i="3"/>
  <c r="O53" i="3" s="1"/>
  <c r="B53" i="3"/>
  <c r="M53" i="3"/>
  <c r="C52" i="3"/>
  <c r="O52" i="3" s="1"/>
  <c r="B52" i="3"/>
  <c r="M52" i="3"/>
  <c r="D51" i="3"/>
  <c r="D50" i="3"/>
  <c r="D49" i="3"/>
  <c r="C48" i="3"/>
  <c r="D48" i="3" s="1"/>
  <c r="B48" i="3"/>
  <c r="O46" i="3"/>
  <c r="AP46" i="3" s="1"/>
  <c r="N46" i="3"/>
  <c r="M46" i="3" s="1"/>
  <c r="L46" i="3"/>
  <c r="C46" i="3"/>
  <c r="D46" i="3" s="1"/>
  <c r="B46" i="3"/>
  <c r="AP45" i="3"/>
  <c r="AO45" i="3"/>
  <c r="M45" i="3"/>
  <c r="C45" i="3"/>
  <c r="D45" i="3" s="1"/>
  <c r="B45" i="3"/>
  <c r="AP44" i="3"/>
  <c r="AO44" i="3"/>
  <c r="M44" i="3"/>
  <c r="C44" i="3"/>
  <c r="D44" i="3" s="1"/>
  <c r="B44" i="3"/>
  <c r="O43" i="3"/>
  <c r="AP43" i="3" s="1"/>
  <c r="N43" i="3"/>
  <c r="AO43" i="3" s="1"/>
  <c r="L43" i="3"/>
  <c r="C43" i="3"/>
  <c r="AV43" i="3" s="1"/>
  <c r="B43" i="3"/>
  <c r="O42" i="3"/>
  <c r="AP42" i="3" s="1"/>
  <c r="N42" i="3"/>
  <c r="M42" i="3" s="1"/>
  <c r="L42" i="3"/>
  <c r="C42" i="3"/>
  <c r="AV42" i="3" s="1"/>
  <c r="B42" i="3"/>
  <c r="O41" i="3"/>
  <c r="AP41" i="3" s="1"/>
  <c r="N41" i="3"/>
  <c r="M41" i="3" s="1"/>
  <c r="L41" i="3"/>
  <c r="C41" i="3"/>
  <c r="AV41" i="3" s="1"/>
  <c r="B41" i="3"/>
  <c r="O40" i="3"/>
  <c r="AP40" i="3" s="1"/>
  <c r="N40" i="3"/>
  <c r="M40" i="3" s="1"/>
  <c r="L40" i="3"/>
  <c r="C40" i="3"/>
  <c r="D40" i="3" s="1"/>
  <c r="B40" i="3"/>
  <c r="O39" i="3"/>
  <c r="AP39" i="3" s="1"/>
  <c r="N39" i="3"/>
  <c r="AO39" i="3" s="1"/>
  <c r="L39" i="3"/>
  <c r="C39" i="3"/>
  <c r="D39" i="3" s="1"/>
  <c r="B39" i="3"/>
  <c r="O38" i="3"/>
  <c r="AP38" i="3" s="1"/>
  <c r="N38" i="3"/>
  <c r="M38" i="3" s="1"/>
  <c r="L38" i="3"/>
  <c r="C38" i="3"/>
  <c r="AV38" i="3" s="1"/>
  <c r="B38" i="3"/>
  <c r="AT37" i="3"/>
  <c r="O37" i="3"/>
  <c r="AP37" i="3" s="1"/>
  <c r="N37" i="3"/>
  <c r="M37" i="3" s="1"/>
  <c r="L37" i="3"/>
  <c r="AV37" i="3"/>
  <c r="B37" i="3"/>
  <c r="AT36" i="3"/>
  <c r="AP36" i="3"/>
  <c r="AO36" i="3"/>
  <c r="M36" i="3"/>
  <c r="D36" i="3"/>
  <c r="B36" i="3"/>
  <c r="AT35" i="3"/>
  <c r="AP35" i="3"/>
  <c r="AO35" i="3"/>
  <c r="M35" i="3"/>
  <c r="C35" i="3"/>
  <c r="AV35" i="3" s="1"/>
  <c r="B35" i="3"/>
  <c r="AP34" i="3"/>
  <c r="AO34" i="3"/>
  <c r="M34" i="3"/>
  <c r="C34" i="3"/>
  <c r="D34" i="3" s="1"/>
  <c r="B34" i="3"/>
  <c r="AP33" i="3"/>
  <c r="AO33" i="3"/>
  <c r="M33" i="3"/>
  <c r="C33" i="3"/>
  <c r="D33" i="3" s="1"/>
  <c r="B33" i="3"/>
  <c r="AT31" i="3"/>
  <c r="AP31" i="3"/>
  <c r="AO31" i="3"/>
  <c r="M31" i="3"/>
  <c r="C31" i="3"/>
  <c r="D31" i="3" s="1"/>
  <c r="B31" i="3"/>
  <c r="AT30" i="3"/>
  <c r="AP30" i="3"/>
  <c r="AO30" i="3"/>
  <c r="M30" i="3"/>
  <c r="C30" i="3"/>
  <c r="D30" i="3" s="1"/>
  <c r="B30" i="3"/>
  <c r="Q28" i="3"/>
  <c r="C28" i="3"/>
  <c r="D28" i="3" s="1"/>
  <c r="B28" i="3"/>
  <c r="Q27" i="3"/>
  <c r="C27" i="3"/>
  <c r="S27" i="3" s="1"/>
  <c r="B27" i="3"/>
  <c r="Q26" i="3"/>
  <c r="C26" i="3"/>
  <c r="S26" i="3" s="1"/>
  <c r="B26" i="3"/>
  <c r="Q25" i="3"/>
  <c r="C25" i="3"/>
  <c r="D25" i="3" s="1"/>
  <c r="B25" i="3"/>
  <c r="Q24" i="3"/>
  <c r="C24" i="3"/>
  <c r="S24" i="3" s="1"/>
  <c r="B24" i="3"/>
  <c r="Q23" i="3"/>
  <c r="C23" i="3"/>
  <c r="D23" i="3" s="1"/>
  <c r="B23" i="3"/>
  <c r="C22" i="3"/>
  <c r="S22" i="3" s="1"/>
  <c r="B22" i="3"/>
  <c r="Q21" i="3"/>
  <c r="C21" i="3"/>
  <c r="D21" i="3" s="1"/>
  <c r="B21" i="3"/>
  <c r="Q20" i="3"/>
  <c r="C20" i="3"/>
  <c r="D20" i="3" s="1"/>
  <c r="B20" i="3"/>
  <c r="C19" i="3"/>
  <c r="D19" i="3" s="1"/>
  <c r="B19" i="3"/>
  <c r="C18" i="3"/>
  <c r="S18" i="3" s="1"/>
  <c r="B18" i="3"/>
  <c r="Q17" i="3"/>
  <c r="C17" i="3"/>
  <c r="S17" i="3" s="1"/>
  <c r="B17" i="3"/>
  <c r="Q16" i="3"/>
  <c r="C16" i="3"/>
  <c r="S16" i="3" s="1"/>
  <c r="B16" i="3"/>
  <c r="Q15" i="3"/>
  <c r="C15" i="3"/>
  <c r="D15" i="3" s="1"/>
  <c r="B15" i="3"/>
  <c r="Q14" i="3"/>
  <c r="C14" i="3"/>
  <c r="S14" i="3" s="1"/>
  <c r="B14" i="3"/>
  <c r="Q13" i="3"/>
  <c r="C13" i="3"/>
  <c r="D13" i="3" s="1"/>
  <c r="B13" i="3"/>
  <c r="Q12" i="3"/>
  <c r="C12" i="3"/>
  <c r="D12" i="3" s="1"/>
  <c r="B12" i="3"/>
  <c r="Q11" i="3"/>
  <c r="C11" i="3"/>
  <c r="D11" i="3" s="1"/>
  <c r="B11" i="3"/>
  <c r="Q10" i="3"/>
  <c r="C10" i="3"/>
  <c r="S10" i="3" s="1"/>
  <c r="B10" i="3"/>
  <c r="C9" i="3"/>
  <c r="S9" i="3" s="1"/>
  <c r="B9" i="3"/>
  <c r="C8" i="3"/>
  <c r="S8" i="3" s="1"/>
  <c r="B8" i="3"/>
  <c r="Q7" i="3"/>
  <c r="C7" i="3"/>
  <c r="D7" i="3" s="1"/>
  <c r="B7" i="3"/>
  <c r="Q6" i="3"/>
  <c r="O6" i="3"/>
  <c r="C6" i="3"/>
  <c r="S6" i="3" s="1"/>
  <c r="B6" i="3"/>
  <c r="D4" i="3"/>
  <c r="D3" i="3"/>
  <c r="B3" i="3"/>
  <c r="O6" i="2"/>
  <c r="AR44" i="2" s="1"/>
  <c r="B3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K52" i="2"/>
  <c r="C52" i="2"/>
  <c r="D52" i="2" s="1"/>
  <c r="B52" i="2"/>
  <c r="M52" i="2"/>
  <c r="K51" i="2"/>
  <c r="C51" i="2"/>
  <c r="D51" i="2" s="1"/>
  <c r="B51" i="2"/>
  <c r="M51" i="2"/>
  <c r="C50" i="2"/>
  <c r="D50" i="2" s="1"/>
  <c r="B50" i="2"/>
  <c r="M50" i="2"/>
  <c r="D49" i="2"/>
  <c r="D48" i="2"/>
  <c r="D47" i="2"/>
  <c r="C46" i="2"/>
  <c r="D46" i="2" s="1"/>
  <c r="B46" i="2"/>
  <c r="O44" i="2"/>
  <c r="AP44" i="2" s="1"/>
  <c r="N44" i="2"/>
  <c r="M44" i="2" s="1"/>
  <c r="L44" i="2"/>
  <c r="C44" i="2"/>
  <c r="D44" i="2" s="1"/>
  <c r="B44" i="2"/>
  <c r="AP43" i="2"/>
  <c r="AO43" i="2"/>
  <c r="M43" i="2"/>
  <c r="C43" i="2"/>
  <c r="AV43" i="2" s="1"/>
  <c r="B43" i="2"/>
  <c r="AP42" i="2"/>
  <c r="AO42" i="2"/>
  <c r="M42" i="2"/>
  <c r="C42" i="2"/>
  <c r="D42" i="2" s="1"/>
  <c r="B42" i="2"/>
  <c r="O41" i="2"/>
  <c r="AP41" i="2" s="1"/>
  <c r="N41" i="2"/>
  <c r="AO41" i="2" s="1"/>
  <c r="L41" i="2"/>
  <c r="C41" i="2"/>
  <c r="D41" i="2" s="1"/>
  <c r="B41" i="2"/>
  <c r="O40" i="2"/>
  <c r="AP40" i="2" s="1"/>
  <c r="N40" i="2"/>
  <c r="M40" i="2" s="1"/>
  <c r="L40" i="2"/>
  <c r="C40" i="2"/>
  <c r="D40" i="2" s="1"/>
  <c r="B40" i="2"/>
  <c r="O39" i="2"/>
  <c r="AP39" i="2" s="1"/>
  <c r="N39" i="2"/>
  <c r="AO39" i="2" s="1"/>
  <c r="L39" i="2"/>
  <c r="C39" i="2"/>
  <c r="D39" i="2" s="1"/>
  <c r="B39" i="2"/>
  <c r="O38" i="2"/>
  <c r="AP38" i="2" s="1"/>
  <c r="N38" i="2"/>
  <c r="AO38" i="2" s="1"/>
  <c r="L38" i="2"/>
  <c r="C38" i="2"/>
  <c r="D38" i="2" s="1"/>
  <c r="B38" i="2"/>
  <c r="O37" i="2"/>
  <c r="AP37" i="2" s="1"/>
  <c r="N37" i="2"/>
  <c r="M37" i="2" s="1"/>
  <c r="L37" i="2"/>
  <c r="C37" i="2"/>
  <c r="AV37" i="2" s="1"/>
  <c r="B37" i="2"/>
  <c r="O36" i="2"/>
  <c r="AP36" i="2" s="1"/>
  <c r="N36" i="2"/>
  <c r="AO36" i="2" s="1"/>
  <c r="L36" i="2"/>
  <c r="C36" i="2"/>
  <c r="AV36" i="2" s="1"/>
  <c r="B36" i="2"/>
  <c r="AT35" i="2"/>
  <c r="AP35" i="2"/>
  <c r="AO35" i="2"/>
  <c r="M35" i="2"/>
  <c r="C35" i="2"/>
  <c r="D35" i="2" s="1"/>
  <c r="B35" i="2"/>
  <c r="AP34" i="2"/>
  <c r="AO34" i="2"/>
  <c r="M34" i="2"/>
  <c r="C34" i="2"/>
  <c r="AV34" i="2" s="1"/>
  <c r="B34" i="2"/>
  <c r="AP33" i="2"/>
  <c r="AO33" i="2"/>
  <c r="M33" i="2"/>
  <c r="C33" i="2"/>
  <c r="D33" i="2" s="1"/>
  <c r="B33" i="2"/>
  <c r="AT31" i="2"/>
  <c r="AP31" i="2"/>
  <c r="AO31" i="2"/>
  <c r="M31" i="2"/>
  <c r="C31" i="2"/>
  <c r="AV31" i="2" s="1"/>
  <c r="B31" i="2"/>
  <c r="AT30" i="2"/>
  <c r="AP30" i="2"/>
  <c r="AO30" i="2"/>
  <c r="M30" i="2"/>
  <c r="B30" i="2"/>
  <c r="Q28" i="2"/>
  <c r="C28" i="2"/>
  <c r="D28" i="2" s="1"/>
  <c r="B28" i="2"/>
  <c r="Q27" i="2"/>
  <c r="C27" i="2"/>
  <c r="D27" i="2" s="1"/>
  <c r="B27" i="2"/>
  <c r="Q26" i="2"/>
  <c r="C26" i="2"/>
  <c r="D26" i="2" s="1"/>
  <c r="B26" i="2"/>
  <c r="Q25" i="2"/>
  <c r="C25" i="2"/>
  <c r="D25" i="2" s="1"/>
  <c r="B25" i="2"/>
  <c r="Q24" i="2"/>
  <c r="B24" i="2"/>
  <c r="Q23" i="2"/>
  <c r="C23" i="2"/>
  <c r="D23" i="2" s="1"/>
  <c r="B23" i="2"/>
  <c r="C22" i="2"/>
  <c r="S22" i="2" s="1"/>
  <c r="B22" i="2"/>
  <c r="Q21" i="2"/>
  <c r="C21" i="2"/>
  <c r="D21" i="2" s="1"/>
  <c r="B21" i="2"/>
  <c r="Q20" i="2"/>
  <c r="C20" i="2"/>
  <c r="D20" i="2" s="1"/>
  <c r="B20" i="2"/>
  <c r="C19" i="2"/>
  <c r="D19" i="2" s="1"/>
  <c r="B19" i="2"/>
  <c r="C18" i="2"/>
  <c r="D18" i="2" s="1"/>
  <c r="B18" i="2"/>
  <c r="Q17" i="2"/>
  <c r="C17" i="2"/>
  <c r="D17" i="2" s="1"/>
  <c r="B17" i="2"/>
  <c r="Q16" i="2"/>
  <c r="C16" i="2"/>
  <c r="S16" i="2" s="1"/>
  <c r="B16" i="2"/>
  <c r="Q15" i="2"/>
  <c r="C15" i="2"/>
  <c r="D15" i="2" s="1"/>
  <c r="B15" i="2"/>
  <c r="Q14" i="2"/>
  <c r="C14" i="2"/>
  <c r="D14" i="2" s="1"/>
  <c r="B14" i="2"/>
  <c r="Q13" i="2"/>
  <c r="C13" i="2"/>
  <c r="D13" i="2" s="1"/>
  <c r="B13" i="2"/>
  <c r="Q12" i="2"/>
  <c r="C12" i="2"/>
  <c r="S12" i="2" s="1"/>
  <c r="B12" i="2"/>
  <c r="Q11" i="2"/>
  <c r="C11" i="2"/>
  <c r="D11" i="2" s="1"/>
  <c r="B11" i="2"/>
  <c r="Q10" i="2"/>
  <c r="C10" i="2"/>
  <c r="D10" i="2" s="1"/>
  <c r="B10" i="2"/>
  <c r="C9" i="2"/>
  <c r="D9" i="2" s="1"/>
  <c r="B9" i="2"/>
  <c r="C8" i="2"/>
  <c r="S8" i="2" s="1"/>
  <c r="B8" i="2"/>
  <c r="Q7" i="2"/>
  <c r="C7" i="2"/>
  <c r="D7" i="2" s="1"/>
  <c r="B7" i="2"/>
  <c r="Q6" i="2"/>
  <c r="C6" i="2"/>
  <c r="D6" i="2" s="1"/>
  <c r="B6" i="2"/>
  <c r="D3" i="2"/>
  <c r="O8" i="18" l="1"/>
  <c r="O24" i="18" s="1"/>
  <c r="O26" i="18"/>
  <c r="AO57" i="22"/>
  <c r="O12" i="17"/>
  <c r="O30" i="17"/>
  <c r="O44" i="17"/>
  <c r="O6" i="20"/>
  <c r="O17" i="20" s="1"/>
  <c r="O41" i="17"/>
  <c r="O35" i="17"/>
  <c r="O38" i="17"/>
  <c r="O5" i="24"/>
  <c r="AR7" i="24" s="1"/>
  <c r="O23" i="23"/>
  <c r="AR59" i="23" s="1"/>
  <c r="M36" i="12"/>
  <c r="D19" i="13"/>
  <c r="O10" i="17"/>
  <c r="AR72" i="17"/>
  <c r="S18" i="12"/>
  <c r="S24" i="14"/>
  <c r="S45" i="16"/>
  <c r="O23" i="17"/>
  <c r="O28" i="17"/>
  <c r="O33" i="17"/>
  <c r="O55" i="17"/>
  <c r="O32" i="18"/>
  <c r="M40" i="11"/>
  <c r="D7" i="12"/>
  <c r="O39" i="17"/>
  <c r="O42" i="17"/>
  <c r="O50" i="17"/>
  <c r="O58" i="17"/>
  <c r="AR74" i="17"/>
  <c r="O54" i="18"/>
  <c r="O15" i="17"/>
  <c r="O31" i="17"/>
  <c r="O45" i="17"/>
  <c r="O53" i="17"/>
  <c r="AR66" i="17"/>
  <c r="AR69" i="17"/>
  <c r="S15" i="18"/>
  <c r="O25" i="17"/>
  <c r="O16" i="17"/>
  <c r="O48" i="17"/>
  <c r="AR76" i="17"/>
  <c r="D30" i="18"/>
  <c r="O39" i="18"/>
  <c r="D31" i="12"/>
  <c r="O11" i="17"/>
  <c r="O20" i="17"/>
  <c r="D40" i="12"/>
  <c r="S20" i="13"/>
  <c r="M44" i="13"/>
  <c r="O14" i="17"/>
  <c r="O19" i="17"/>
  <c r="O24" i="17"/>
  <c r="O40" i="17"/>
  <c r="O43" i="17"/>
  <c r="O56" i="17"/>
  <c r="O43" i="18"/>
  <c r="D88" i="18"/>
  <c r="O9" i="17"/>
  <c r="O37" i="17" s="1"/>
  <c r="O51" i="17"/>
  <c r="O59" i="17"/>
  <c r="AR73" i="17"/>
  <c r="M40" i="12"/>
  <c r="AO39" i="13"/>
  <c r="D36" i="14"/>
  <c r="AO44" i="14"/>
  <c r="O22" i="17"/>
  <c r="O27" i="17"/>
  <c r="O32" i="17"/>
  <c r="O46" i="17"/>
  <c r="O54" i="17"/>
  <c r="M46" i="9"/>
  <c r="O17" i="17"/>
  <c r="O49" i="17"/>
  <c r="O23" i="15"/>
  <c r="O25" i="15"/>
  <c r="D90" i="18"/>
  <c r="S25" i="18"/>
  <c r="D12" i="18"/>
  <c r="D32" i="18"/>
  <c r="S47" i="18"/>
  <c r="AV71" i="18"/>
  <c r="D10" i="18"/>
  <c r="D54" i="18"/>
  <c r="D36" i="18"/>
  <c r="O71" i="16"/>
  <c r="S10" i="16"/>
  <c r="D16" i="16"/>
  <c r="S36" i="16"/>
  <c r="S50" i="16"/>
  <c r="D42" i="16"/>
  <c r="D40" i="16"/>
  <c r="S27" i="14"/>
  <c r="AV30" i="14"/>
  <c r="AV34" i="14"/>
  <c r="M36" i="14"/>
  <c r="D17" i="14"/>
  <c r="D31" i="14"/>
  <c r="D38" i="14"/>
  <c r="D9" i="14"/>
  <c r="D23" i="14"/>
  <c r="D15" i="14"/>
  <c r="AV35" i="14"/>
  <c r="AV44" i="14"/>
  <c r="M40" i="14"/>
  <c r="D40" i="13"/>
  <c r="M40" i="13"/>
  <c r="S21" i="13"/>
  <c r="D27" i="13"/>
  <c r="AV43" i="13"/>
  <c r="AV30" i="13"/>
  <c r="D7" i="13"/>
  <c r="D41" i="13"/>
  <c r="D23" i="12"/>
  <c r="O51" i="12"/>
  <c r="S10" i="12"/>
  <c r="D27" i="12"/>
  <c r="S13" i="12"/>
  <c r="S8" i="12"/>
  <c r="AV42" i="12"/>
  <c r="M39" i="10"/>
  <c r="M46" i="10"/>
  <c r="O52" i="10"/>
  <c r="AO38" i="9"/>
  <c r="AO37" i="9"/>
  <c r="O8" i="8"/>
  <c r="AV36" i="13"/>
  <c r="AP71" i="17"/>
  <c r="Q71" i="17"/>
  <c r="AV45" i="8"/>
  <c r="D10" i="11"/>
  <c r="S15" i="12"/>
  <c r="S10" i="13"/>
  <c r="O15" i="13"/>
  <c r="AV31" i="13"/>
  <c r="AV35" i="13"/>
  <c r="M38" i="13"/>
  <c r="D51" i="13"/>
  <c r="D43" i="14"/>
  <c r="S21" i="16"/>
  <c r="D24" i="16"/>
  <c r="S17" i="18"/>
  <c r="D52" i="18"/>
  <c r="M75" i="18"/>
  <c r="AO37" i="10"/>
  <c r="M42" i="10"/>
  <c r="AV30" i="12"/>
  <c r="M44" i="12"/>
  <c r="S22" i="14"/>
  <c r="O8" i="16"/>
  <c r="O35" i="16" s="1"/>
  <c r="S35" i="16"/>
  <c r="D20" i="18"/>
  <c r="D11" i="12"/>
  <c r="D36" i="12"/>
  <c r="D43" i="12"/>
  <c r="D50" i="12"/>
  <c r="D25" i="14"/>
  <c r="D42" i="14"/>
  <c r="D50" i="14"/>
  <c r="D50" i="18"/>
  <c r="AO41" i="8"/>
  <c r="M42" i="9"/>
  <c r="D16" i="12"/>
  <c r="D21" i="12"/>
  <c r="O52" i="12"/>
  <c r="D23" i="13"/>
  <c r="D11" i="14"/>
  <c r="D33" i="14"/>
  <c r="M38" i="14"/>
  <c r="D69" i="16"/>
  <c r="D18" i="18"/>
  <c r="S23" i="18"/>
  <c r="D28" i="18"/>
  <c r="S55" i="18"/>
  <c r="M46" i="8"/>
  <c r="M39" i="9"/>
  <c r="S11" i="13"/>
  <c r="S6" i="14"/>
  <c r="S25" i="8"/>
  <c r="D6" i="11"/>
  <c r="D36" i="11"/>
  <c r="AV33" i="12"/>
  <c r="S28" i="13"/>
  <c r="M36" i="13"/>
  <c r="AO37" i="13"/>
  <c r="AV42" i="13"/>
  <c r="D21" i="14"/>
  <c r="D16" i="18"/>
  <c r="D26" i="18"/>
  <c r="S33" i="18"/>
  <c r="D48" i="18"/>
  <c r="D58" i="18"/>
  <c r="AO74" i="18"/>
  <c r="O8" i="27"/>
  <c r="O10" i="27"/>
  <c r="O7" i="27"/>
  <c r="O6" i="22"/>
  <c r="O6" i="26"/>
  <c r="O9" i="27"/>
  <c r="O6" i="25"/>
  <c r="S26" i="12"/>
  <c r="S16" i="14"/>
  <c r="D12" i="16"/>
  <c r="S31" i="18"/>
  <c r="M36" i="11"/>
  <c r="D24" i="12"/>
  <c r="O7" i="13"/>
  <c r="O19" i="13"/>
  <c r="D19" i="14"/>
  <c r="D51" i="14"/>
  <c r="S26" i="15"/>
  <c r="S28" i="16"/>
  <c r="D14" i="18"/>
  <c r="D24" i="18"/>
  <c r="D46" i="18"/>
  <c r="D56" i="18"/>
  <c r="D7" i="14"/>
  <c r="S14" i="14"/>
  <c r="D40" i="14"/>
  <c r="AO41" i="14"/>
  <c r="AP71" i="18"/>
  <c r="Q71" i="18"/>
  <c r="O12" i="8"/>
  <c r="O26" i="8"/>
  <c r="M42" i="8"/>
  <c r="AO41" i="9"/>
  <c r="D34" i="12"/>
  <c r="O10" i="13"/>
  <c r="S12" i="13"/>
  <c r="AR31" i="13"/>
  <c r="AV37" i="14"/>
  <c r="O72" i="16"/>
  <c r="S9" i="18"/>
  <c r="D22" i="18"/>
  <c r="D34" i="18"/>
  <c r="O38" i="21"/>
  <c r="O41" i="21"/>
  <c r="O16" i="21"/>
  <c r="D53" i="21"/>
  <c r="AR43" i="21"/>
  <c r="O36" i="21"/>
  <c r="O11" i="21"/>
  <c r="O19" i="21"/>
  <c r="O20" i="8"/>
  <c r="O7" i="11"/>
  <c r="AR44" i="13"/>
  <c r="O9" i="16"/>
  <c r="O26" i="20"/>
  <c r="O33" i="21"/>
  <c r="O27" i="11"/>
  <c r="O9" i="11"/>
  <c r="O22" i="21"/>
  <c r="O35" i="21"/>
  <c r="O16" i="13"/>
  <c r="O11" i="16"/>
  <c r="O16" i="16"/>
  <c r="O17" i="21"/>
  <c r="O24" i="21"/>
  <c r="O10" i="8"/>
  <c r="O15" i="11"/>
  <c r="O18" i="13"/>
  <c r="O24" i="13"/>
  <c r="O14" i="21"/>
  <c r="O21" i="21"/>
  <c r="O39" i="21"/>
  <c r="O10" i="11"/>
  <c r="O19" i="16"/>
  <c r="O24" i="16"/>
  <c r="O33" i="16"/>
  <c r="O49" i="16"/>
  <c r="O13" i="21"/>
  <c r="O25" i="21"/>
  <c r="AR8" i="24"/>
  <c r="AR72" i="18"/>
  <c r="O53" i="18"/>
  <c r="O21" i="18"/>
  <c r="O40" i="18"/>
  <c r="O42" i="18"/>
  <c r="O44" i="18"/>
  <c r="O15" i="20"/>
  <c r="O8" i="20"/>
  <c r="O25" i="20"/>
  <c r="O11" i="20"/>
  <c r="O9" i="20"/>
  <c r="AR48" i="23"/>
  <c r="AR43" i="23"/>
  <c r="O48" i="18"/>
  <c r="O33" i="18"/>
  <c r="O19" i="18"/>
  <c r="O12" i="18"/>
  <c r="O34" i="18"/>
  <c r="O30" i="18"/>
  <c r="O16" i="18"/>
  <c r="AR75" i="18"/>
  <c r="AR74" i="18"/>
  <c r="O55" i="18"/>
  <c r="O52" i="18"/>
  <c r="O45" i="18"/>
  <c r="O23" i="18"/>
  <c r="O20" i="18"/>
  <c r="O9" i="18"/>
  <c r="O36" i="18" s="1"/>
  <c r="O51" i="15"/>
  <c r="O9" i="15"/>
  <c r="O13" i="18"/>
  <c r="O31" i="18"/>
  <c r="O57" i="18"/>
  <c r="AR67" i="18"/>
  <c r="AR71" i="18"/>
  <c r="AR73" i="18"/>
  <c r="O12" i="15"/>
  <c r="O14" i="15"/>
  <c r="O10" i="18"/>
  <c r="O28" i="18"/>
  <c r="O40" i="15"/>
  <c r="O48" i="15"/>
  <c r="O47" i="18"/>
  <c r="O56" i="18"/>
  <c r="AR40" i="13"/>
  <c r="AR37" i="13"/>
  <c r="O23" i="13"/>
  <c r="O11" i="13"/>
  <c r="O8" i="13"/>
  <c r="O31" i="15"/>
  <c r="O50" i="16"/>
  <c r="O25" i="16"/>
  <c r="O40" i="16"/>
  <c r="O46" i="18"/>
  <c r="O49" i="18"/>
  <c r="AR77" i="18"/>
  <c r="AR28" i="20"/>
  <c r="AR37" i="8"/>
  <c r="AR43" i="8"/>
  <c r="AR31" i="8"/>
  <c r="O16" i="8"/>
  <c r="AR45" i="8"/>
  <c r="AR41" i="8"/>
  <c r="AR36" i="8"/>
  <c r="AR35" i="8"/>
  <c r="AR34" i="8"/>
  <c r="AR30" i="8"/>
  <c r="O28" i="8"/>
  <c r="O24" i="8"/>
  <c r="AR38" i="13"/>
  <c r="AR43" i="13"/>
  <c r="O19" i="15"/>
  <c r="O17" i="16"/>
  <c r="O27" i="16"/>
  <c r="O41" i="16"/>
  <c r="O48" i="16"/>
  <c r="O14" i="18"/>
  <c r="O29" i="18"/>
  <c r="O35" i="18"/>
  <c r="O58" i="18"/>
  <c r="AR76" i="18"/>
  <c r="O24" i="20"/>
  <c r="AR77" i="17"/>
  <c r="AR67" i="17"/>
  <c r="O57" i="17"/>
  <c r="O52" i="17"/>
  <c r="O47" i="17"/>
  <c r="O34" i="17"/>
  <c r="O26" i="17"/>
  <c r="O18" i="17"/>
  <c r="O13" i="17"/>
  <c r="O29" i="17"/>
  <c r="O21" i="17"/>
  <c r="AR71" i="17"/>
  <c r="AR70" i="17"/>
  <c r="O34" i="21"/>
  <c r="O20" i="21"/>
  <c r="O12" i="21"/>
  <c r="O37" i="21"/>
  <c r="O23" i="21"/>
  <c r="O15" i="21"/>
  <c r="O40" i="21"/>
  <c r="O32" i="21"/>
  <c r="O18" i="21"/>
  <c r="O10" i="21"/>
  <c r="O30" i="21" s="1"/>
  <c r="D5" i="24"/>
  <c r="AV7" i="24"/>
  <c r="AV8" i="24"/>
  <c r="AR54" i="23"/>
  <c r="AV62" i="23"/>
  <c r="AV56" i="23"/>
  <c r="S23" i="23"/>
  <c r="AV36" i="23"/>
  <c r="AV65" i="23"/>
  <c r="AV40" i="23"/>
  <c r="AV33" i="23"/>
  <c r="S26" i="23"/>
  <c r="AV32" i="23"/>
  <c r="D45" i="23"/>
  <c r="D51" i="23"/>
  <c r="D28" i="23"/>
  <c r="D35" i="23"/>
  <c r="D48" i="23"/>
  <c r="D38" i="23"/>
  <c r="AV53" i="23"/>
  <c r="AV61" i="23"/>
  <c r="D24" i="23"/>
  <c r="AV29" i="23"/>
  <c r="D41" i="23"/>
  <c r="D43" i="23"/>
  <c r="AV58" i="23"/>
  <c r="D31" i="23"/>
  <c r="AV50" i="23"/>
  <c r="AV54" i="23"/>
  <c r="AV64" i="23"/>
  <c r="D66" i="23"/>
  <c r="AV46" i="23"/>
  <c r="AV60" i="23"/>
  <c r="S25" i="23"/>
  <c r="D37" i="23"/>
  <c r="D39" i="23"/>
  <c r="AV44" i="23"/>
  <c r="D49" i="23"/>
  <c r="AV52" i="23"/>
  <c r="D57" i="23"/>
  <c r="AV59" i="23"/>
  <c r="AV63" i="23"/>
  <c r="AV30" i="23"/>
  <c r="AV34" i="23"/>
  <c r="D47" i="23"/>
  <c r="D55" i="23"/>
  <c r="AV39" i="22"/>
  <c r="AV34" i="22"/>
  <c r="D12" i="22"/>
  <c r="AO59" i="22"/>
  <c r="M53" i="22"/>
  <c r="D62" i="22"/>
  <c r="AV49" i="22"/>
  <c r="D42" i="22"/>
  <c r="M56" i="22"/>
  <c r="O70" i="22"/>
  <c r="D14" i="22"/>
  <c r="D31" i="22"/>
  <c r="AO63" i="22"/>
  <c r="S20" i="22"/>
  <c r="S7" i="22"/>
  <c r="AO54" i="22"/>
  <c r="AV37" i="22"/>
  <c r="AV47" i="22"/>
  <c r="S17" i="22"/>
  <c r="AV32" i="22"/>
  <c r="D23" i="22"/>
  <c r="D54" i="22"/>
  <c r="S9" i="22"/>
  <c r="D44" i="22"/>
  <c r="AV58" i="22"/>
  <c r="D63" i="22"/>
  <c r="S15" i="22"/>
  <c r="D36" i="22"/>
  <c r="AV45" i="22"/>
  <c r="AV50" i="22"/>
  <c r="AV52" i="22"/>
  <c r="D60" i="22"/>
  <c r="S22" i="22"/>
  <c r="AV56" i="22"/>
  <c r="O71" i="22"/>
  <c r="S6" i="22"/>
  <c r="AV53" i="22"/>
  <c r="AO55" i="22"/>
  <c r="D8" i="22"/>
  <c r="S11" i="22"/>
  <c r="D16" i="22"/>
  <c r="S19" i="22"/>
  <c r="S26" i="22"/>
  <c r="D27" i="22"/>
  <c r="S29" i="22"/>
  <c r="D33" i="22"/>
  <c r="D38" i="22"/>
  <c r="AV41" i="22"/>
  <c r="D46" i="22"/>
  <c r="S10" i="22"/>
  <c r="S18" i="22"/>
  <c r="S25" i="22"/>
  <c r="S28" i="22"/>
  <c r="AV40" i="22"/>
  <c r="AV51" i="22"/>
  <c r="AV57" i="22"/>
  <c r="AO58" i="22"/>
  <c r="D59" i="22"/>
  <c r="AO60" i="22"/>
  <c r="AV61" i="22"/>
  <c r="D13" i="22"/>
  <c r="D21" i="22"/>
  <c r="D24" i="22"/>
  <c r="D35" i="22"/>
  <c r="D43" i="22"/>
  <c r="D55" i="22"/>
  <c r="D64" i="22"/>
  <c r="D33" i="21"/>
  <c r="S14" i="21"/>
  <c r="D19" i="21"/>
  <c r="S28" i="21"/>
  <c r="S11" i="21"/>
  <c r="S22" i="21"/>
  <c r="O49" i="21"/>
  <c r="D36" i="21"/>
  <c r="S12" i="21"/>
  <c r="S20" i="21"/>
  <c r="S27" i="21"/>
  <c r="S29" i="21"/>
  <c r="S34" i="21"/>
  <c r="D17" i="21"/>
  <c r="D25" i="21"/>
  <c r="D39" i="21"/>
  <c r="D51" i="21"/>
  <c r="D13" i="21"/>
  <c r="D21" i="21"/>
  <c r="D35" i="21"/>
  <c r="AV43" i="21"/>
  <c r="S14" i="20"/>
  <c r="AV28" i="20"/>
  <c r="S20" i="20"/>
  <c r="S11" i="20"/>
  <c r="O34" i="20"/>
  <c r="S19" i="20"/>
  <c r="D9" i="20"/>
  <c r="S17" i="20"/>
  <c r="D26" i="20"/>
  <c r="D12" i="20"/>
  <c r="S25" i="20"/>
  <c r="O35" i="20"/>
  <c r="S16" i="21"/>
  <c r="S24" i="21"/>
  <c r="S31" i="21"/>
  <c r="S38" i="21"/>
  <c r="O50" i="21"/>
  <c r="S15" i="21"/>
  <c r="S23" i="21"/>
  <c r="S30" i="21"/>
  <c r="S37" i="21"/>
  <c r="D48" i="21"/>
  <c r="D10" i="21"/>
  <c r="D18" i="21"/>
  <c r="D26" i="21"/>
  <c r="D32" i="21"/>
  <c r="D40" i="21"/>
  <c r="D52" i="21"/>
  <c r="D9" i="21"/>
  <c r="S15" i="20"/>
  <c r="S22" i="20"/>
  <c r="S6" i="20"/>
  <c r="S7" i="20"/>
  <c r="D10" i="20"/>
  <c r="S13" i="20"/>
  <c r="D18" i="20"/>
  <c r="S21" i="20"/>
  <c r="D24" i="20"/>
  <c r="D8" i="20"/>
  <c r="D16" i="20"/>
  <c r="D23" i="20"/>
  <c r="D33" i="20"/>
  <c r="AV73" i="18"/>
  <c r="D73" i="18"/>
  <c r="S49" i="18"/>
  <c r="S57" i="18"/>
  <c r="C77" i="18"/>
  <c r="O91" i="18"/>
  <c r="S8" i="18"/>
  <c r="D13" i="18"/>
  <c r="D21" i="18"/>
  <c r="D29" i="18"/>
  <c r="D37" i="18"/>
  <c r="C44" i="18"/>
  <c r="D45" i="18"/>
  <c r="D53" i="18"/>
  <c r="C75" i="18"/>
  <c r="D87" i="18"/>
  <c r="C43" i="18"/>
  <c r="C66" i="18"/>
  <c r="O89" i="18"/>
  <c r="D5" i="18"/>
  <c r="D11" i="18"/>
  <c r="D19" i="18"/>
  <c r="D27" i="18"/>
  <c r="D35" i="18"/>
  <c r="C42" i="18"/>
  <c r="D51" i="18"/>
  <c r="D59" i="18"/>
  <c r="M71" i="18"/>
  <c r="M77" i="18"/>
  <c r="D86" i="18"/>
  <c r="C41" i="18"/>
  <c r="C67" i="18"/>
  <c r="C74" i="18"/>
  <c r="C40" i="18"/>
  <c r="AV70" i="18"/>
  <c r="C72" i="18"/>
  <c r="D80" i="18"/>
  <c r="C39" i="18"/>
  <c r="C76" i="18"/>
  <c r="J80" i="18"/>
  <c r="C38" i="18"/>
  <c r="D49" i="17"/>
  <c r="D8" i="17"/>
  <c r="S31" i="17"/>
  <c r="D14" i="17"/>
  <c r="K80" i="17"/>
  <c r="S30" i="17"/>
  <c r="D12" i="17"/>
  <c r="M74" i="17"/>
  <c r="S17" i="17"/>
  <c r="D10" i="17"/>
  <c r="S11" i="17"/>
  <c r="M75" i="17"/>
  <c r="M77" i="17"/>
  <c r="D22" i="17"/>
  <c r="D46" i="17"/>
  <c r="D35" i="17"/>
  <c r="D89" i="17"/>
  <c r="D23" i="17"/>
  <c r="D29" i="17"/>
  <c r="D56" i="17"/>
  <c r="C74" i="17"/>
  <c r="AV74" i="17" s="1"/>
  <c r="C66" i="17"/>
  <c r="AV66" i="17" s="1"/>
  <c r="D87" i="17"/>
  <c r="D16" i="17"/>
  <c r="D18" i="17"/>
  <c r="D25" i="17"/>
  <c r="D33" i="17"/>
  <c r="C42" i="17"/>
  <c r="D42" i="17" s="1"/>
  <c r="S45" i="17"/>
  <c r="S51" i="17"/>
  <c r="D53" i="17"/>
  <c r="C43" i="17"/>
  <c r="S50" i="17"/>
  <c r="S57" i="17"/>
  <c r="S36" i="17"/>
  <c r="D37" i="17"/>
  <c r="C44" i="17"/>
  <c r="S44" i="17" s="1"/>
  <c r="O86" i="17"/>
  <c r="O90" i="17"/>
  <c r="D91" i="17"/>
  <c r="D21" i="17"/>
  <c r="D48" i="17"/>
  <c r="S59" i="17"/>
  <c r="S24" i="17"/>
  <c r="S32" i="17"/>
  <c r="AO71" i="17"/>
  <c r="D9" i="17"/>
  <c r="D27" i="17"/>
  <c r="D55" i="17"/>
  <c r="D47" i="17"/>
  <c r="S58" i="17"/>
  <c r="D58" i="17"/>
  <c r="S26" i="17"/>
  <c r="D26" i="17"/>
  <c r="S13" i="17"/>
  <c r="D13" i="17"/>
  <c r="D20" i="17"/>
  <c r="S34" i="17"/>
  <c r="D34" i="17"/>
  <c r="D70" i="17"/>
  <c r="M73" i="17"/>
  <c r="AO73" i="17"/>
  <c r="S15" i="17"/>
  <c r="D15" i="17"/>
  <c r="D19" i="17"/>
  <c r="D28" i="17"/>
  <c r="S52" i="17"/>
  <c r="D52" i="17"/>
  <c r="AV69" i="17"/>
  <c r="D69" i="17"/>
  <c r="C67" i="17"/>
  <c r="C41" i="17"/>
  <c r="D54" i="17"/>
  <c r="C76" i="17"/>
  <c r="D88" i="17"/>
  <c r="C40" i="17"/>
  <c r="D5" i="17"/>
  <c r="C39" i="17"/>
  <c r="D71" i="17"/>
  <c r="C77" i="17"/>
  <c r="C38" i="17"/>
  <c r="C72" i="17"/>
  <c r="C75" i="17"/>
  <c r="D80" i="17"/>
  <c r="C73" i="17"/>
  <c r="D18" i="16"/>
  <c r="D44" i="16"/>
  <c r="D59" i="16"/>
  <c r="S13" i="16"/>
  <c r="D32" i="16"/>
  <c r="D52" i="16"/>
  <c r="D20" i="16"/>
  <c r="D34" i="16"/>
  <c r="S43" i="16"/>
  <c r="S27" i="16"/>
  <c r="D8" i="16"/>
  <c r="D48" i="16"/>
  <c r="S29" i="16"/>
  <c r="S51" i="16"/>
  <c r="S11" i="16"/>
  <c r="S37" i="16"/>
  <c r="D15" i="16"/>
  <c r="D31" i="16"/>
  <c r="D68" i="16"/>
  <c r="S9" i="16"/>
  <c r="D14" i="16"/>
  <c r="O15" i="16"/>
  <c r="S17" i="16"/>
  <c r="D22" i="16"/>
  <c r="O23" i="16"/>
  <c r="S25" i="16"/>
  <c r="D30" i="16"/>
  <c r="O31" i="16"/>
  <c r="S33" i="16"/>
  <c r="D38" i="16"/>
  <c r="O39" i="16"/>
  <c r="S41" i="16"/>
  <c r="D46" i="16"/>
  <c r="O47" i="16"/>
  <c r="S49" i="16"/>
  <c r="D67" i="16"/>
  <c r="O70" i="16"/>
  <c r="O14" i="16"/>
  <c r="O22" i="16"/>
  <c r="O30" i="16"/>
  <c r="O38" i="16"/>
  <c r="O46" i="16"/>
  <c r="D39" i="16"/>
  <c r="D47" i="16"/>
  <c r="S7" i="16"/>
  <c r="O13" i="16"/>
  <c r="O21" i="16"/>
  <c r="S23" i="16"/>
  <c r="O29" i="16"/>
  <c r="O37" i="16"/>
  <c r="O45" i="16"/>
  <c r="O12" i="16"/>
  <c r="O20" i="16"/>
  <c r="O28" i="16"/>
  <c r="O36" i="16"/>
  <c r="O44" i="16"/>
  <c r="O52" i="16"/>
  <c r="AR59" i="16"/>
  <c r="O43" i="16"/>
  <c r="O51" i="16"/>
  <c r="O10" i="16"/>
  <c r="O18" i="16"/>
  <c r="O26" i="16"/>
  <c r="O34" i="16"/>
  <c r="O42" i="16"/>
  <c r="O33" i="15"/>
  <c r="O26" i="15"/>
  <c r="O11" i="15"/>
  <c r="O20" i="15"/>
  <c r="O28" i="15"/>
  <c r="O45" i="15"/>
  <c r="O47" i="15"/>
  <c r="O15" i="15"/>
  <c r="O24" i="15"/>
  <c r="O17" i="15"/>
  <c r="O43" i="15"/>
  <c r="O16" i="15"/>
  <c r="O42" i="15"/>
  <c r="O30" i="15"/>
  <c r="O37" i="15"/>
  <c r="AR59" i="15"/>
  <c r="O10" i="15"/>
  <c r="O22" i="15"/>
  <c r="O27" i="15"/>
  <c r="O32" i="15"/>
  <c r="O50" i="15"/>
  <c r="O52" i="15"/>
  <c r="O8" i="15"/>
  <c r="O35" i="15" s="1"/>
  <c r="O13" i="15"/>
  <c r="O21" i="15"/>
  <c r="O29" i="15"/>
  <c r="O39" i="15"/>
  <c r="O44" i="15"/>
  <c r="O49" i="15"/>
  <c r="O18" i="15"/>
  <c r="O34" i="15"/>
  <c r="O41" i="15"/>
  <c r="O46" i="15"/>
  <c r="AV44" i="8"/>
  <c r="S14" i="10"/>
  <c r="S22" i="10"/>
  <c r="AV45" i="10"/>
  <c r="D9" i="10"/>
  <c r="D27" i="10"/>
  <c r="D31" i="10"/>
  <c r="D11" i="10"/>
  <c r="AV35" i="10"/>
  <c r="AV36" i="10"/>
  <c r="S6" i="10"/>
  <c r="D17" i="10"/>
  <c r="D19" i="10"/>
  <c r="S17" i="9"/>
  <c r="D30" i="9"/>
  <c r="AV34" i="9"/>
  <c r="AV35" i="9"/>
  <c r="AV36" i="9"/>
  <c r="D19" i="9"/>
  <c r="D37" i="9"/>
  <c r="D45" i="9"/>
  <c r="O52" i="9"/>
  <c r="D9" i="9"/>
  <c r="D24" i="9"/>
  <c r="AV44" i="9"/>
  <c r="D53" i="9"/>
  <c r="S6" i="8"/>
  <c r="O52" i="8"/>
  <c r="AV35" i="8"/>
  <c r="S22" i="8"/>
  <c r="S9" i="8"/>
  <c r="S12" i="8"/>
  <c r="S45" i="15"/>
  <c r="S7" i="15"/>
  <c r="AV59" i="15"/>
  <c r="O71" i="15"/>
  <c r="S44" i="15"/>
  <c r="S37" i="15"/>
  <c r="S52" i="15"/>
  <c r="O67" i="15"/>
  <c r="S50" i="15"/>
  <c r="D51" i="15"/>
  <c r="D68" i="15"/>
  <c r="O69" i="15"/>
  <c r="S18" i="15"/>
  <c r="S32" i="15"/>
  <c r="S47" i="15"/>
  <c r="D36" i="15"/>
  <c r="S17" i="15"/>
  <c r="S24" i="15"/>
  <c r="D30" i="15"/>
  <c r="S31" i="15"/>
  <c r="D34" i="15"/>
  <c r="D8" i="15"/>
  <c r="D21" i="15"/>
  <c r="D38" i="15"/>
  <c r="D11" i="15"/>
  <c r="S15" i="15"/>
  <c r="S16" i="15"/>
  <c r="D20" i="15"/>
  <c r="S35" i="15"/>
  <c r="D43" i="15"/>
  <c r="D22" i="15"/>
  <c r="S10" i="15"/>
  <c r="S12" i="15"/>
  <c r="S25" i="15"/>
  <c r="D40" i="15"/>
  <c r="O72" i="15"/>
  <c r="D72" i="15"/>
  <c r="D9" i="15"/>
  <c r="S27" i="15"/>
  <c r="D29" i="15"/>
  <c r="D42" i="15"/>
  <c r="D13" i="15"/>
  <c r="O70" i="15"/>
  <c r="D70" i="15"/>
  <c r="D28" i="15"/>
  <c r="S46" i="15"/>
  <c r="D46" i="15"/>
  <c r="S49" i="15"/>
  <c r="D49" i="15"/>
  <c r="S14" i="15"/>
  <c r="S19" i="15"/>
  <c r="S23" i="15"/>
  <c r="S33" i="15"/>
  <c r="D39" i="15"/>
  <c r="D41" i="15"/>
  <c r="D48" i="15"/>
  <c r="O14" i="14"/>
  <c r="O22" i="14"/>
  <c r="AR33" i="14"/>
  <c r="AR39" i="14"/>
  <c r="O52" i="14"/>
  <c r="D12" i="14"/>
  <c r="O13" i="14"/>
  <c r="D20" i="14"/>
  <c r="O21" i="14"/>
  <c r="D28" i="14"/>
  <c r="AR36" i="14"/>
  <c r="M37" i="14"/>
  <c r="D39" i="14"/>
  <c r="O12" i="14"/>
  <c r="O20" i="14"/>
  <c r="O28" i="14"/>
  <c r="AR34" i="14"/>
  <c r="AR41" i="14"/>
  <c r="D10" i="14"/>
  <c r="O11" i="14"/>
  <c r="D18" i="14"/>
  <c r="O19" i="14"/>
  <c r="D26" i="14"/>
  <c r="O27" i="14"/>
  <c r="AR38" i="14"/>
  <c r="M39" i="14"/>
  <c r="D41" i="14"/>
  <c r="AR44" i="14"/>
  <c r="O10" i="14"/>
  <c r="O18" i="14"/>
  <c r="O26" i="14"/>
  <c r="AR30" i="14"/>
  <c r="AR35" i="14"/>
  <c r="AR42" i="14"/>
  <c r="O9" i="14"/>
  <c r="O17" i="14"/>
  <c r="O25" i="14"/>
  <c r="AR40" i="14"/>
  <c r="O8" i="14"/>
  <c r="O16" i="14"/>
  <c r="O24" i="14"/>
  <c r="AR31" i="14"/>
  <c r="AR37" i="14"/>
  <c r="AR43" i="14"/>
  <c r="O7" i="14"/>
  <c r="O15" i="14"/>
  <c r="D6" i="13"/>
  <c r="D14" i="13"/>
  <c r="S17" i="13"/>
  <c r="O14" i="13"/>
  <c r="S24" i="13"/>
  <c r="AR33" i="13"/>
  <c r="D50" i="13"/>
  <c r="O52" i="13"/>
  <c r="O13" i="13"/>
  <c r="O21" i="13"/>
  <c r="AR36" i="13"/>
  <c r="D39" i="13"/>
  <c r="S9" i="13"/>
  <c r="D22" i="13"/>
  <c r="S25" i="13"/>
  <c r="D37" i="13"/>
  <c r="S8" i="13"/>
  <c r="S16" i="13"/>
  <c r="O22" i="13"/>
  <c r="AR39" i="13"/>
  <c r="AO41" i="13"/>
  <c r="O12" i="13"/>
  <c r="O20" i="13"/>
  <c r="O28" i="13"/>
  <c r="AV33" i="13"/>
  <c r="AR34" i="13"/>
  <c r="AR41" i="13"/>
  <c r="O26" i="13"/>
  <c r="AR30" i="13"/>
  <c r="AR35" i="13"/>
  <c r="D38" i="13"/>
  <c r="AR42" i="13"/>
  <c r="D44" i="13"/>
  <c r="O9" i="13"/>
  <c r="O17" i="13"/>
  <c r="O25" i="13"/>
  <c r="O14" i="12"/>
  <c r="O22" i="12"/>
  <c r="AR33" i="12"/>
  <c r="AV37" i="12"/>
  <c r="AR39" i="12"/>
  <c r="AO41" i="12"/>
  <c r="D12" i="12"/>
  <c r="O13" i="12"/>
  <c r="D20" i="12"/>
  <c r="O21" i="12"/>
  <c r="D28" i="12"/>
  <c r="AR36" i="12"/>
  <c r="M37" i="12"/>
  <c r="D39" i="12"/>
  <c r="S6" i="12"/>
  <c r="S14" i="12"/>
  <c r="O20" i="12"/>
  <c r="O28" i="12"/>
  <c r="AR34" i="12"/>
  <c r="O11" i="12"/>
  <c r="O19" i="12"/>
  <c r="O27" i="12"/>
  <c r="AR38" i="12"/>
  <c r="D41" i="12"/>
  <c r="AR44" i="12"/>
  <c r="O12" i="12"/>
  <c r="S22" i="12"/>
  <c r="D9" i="12"/>
  <c r="O10" i="12"/>
  <c r="D17" i="12"/>
  <c r="O18" i="12"/>
  <c r="D25" i="12"/>
  <c r="O26" i="12"/>
  <c r="AR30" i="12"/>
  <c r="AR35" i="12"/>
  <c r="D38" i="12"/>
  <c r="AR42" i="12"/>
  <c r="D44" i="12"/>
  <c r="AR41" i="12"/>
  <c r="O9" i="12"/>
  <c r="O17" i="12"/>
  <c r="O25" i="12"/>
  <c r="AR40" i="12"/>
  <c r="O8" i="12"/>
  <c r="O16" i="12"/>
  <c r="O24" i="12"/>
  <c r="AR31" i="12"/>
  <c r="AR37" i="12"/>
  <c r="AR43" i="12"/>
  <c r="O7" i="12"/>
  <c r="O15" i="12"/>
  <c r="D24" i="11"/>
  <c r="D16" i="11"/>
  <c r="O19" i="11"/>
  <c r="D50" i="11"/>
  <c r="D8" i="11"/>
  <c r="O11" i="11"/>
  <c r="O21" i="11"/>
  <c r="D26" i="11"/>
  <c r="O13" i="11"/>
  <c r="D18" i="11"/>
  <c r="O23" i="11"/>
  <c r="AR37" i="11"/>
  <c r="M44" i="11"/>
  <c r="O18" i="11"/>
  <c r="AR39" i="11"/>
  <c r="O25" i="11"/>
  <c r="AR41" i="11"/>
  <c r="AR42" i="11"/>
  <c r="AR43" i="11"/>
  <c r="S12" i="11"/>
  <c r="S22" i="11"/>
  <c r="D42" i="11"/>
  <c r="AV43" i="11"/>
  <c r="AV38" i="11"/>
  <c r="D14" i="11"/>
  <c r="D20" i="11"/>
  <c r="S21" i="11"/>
  <c r="AV39" i="11"/>
  <c r="D51" i="11"/>
  <c r="AV44" i="11"/>
  <c r="S13" i="11"/>
  <c r="D40" i="11"/>
  <c r="S9" i="11"/>
  <c r="S17" i="11"/>
  <c r="S25" i="11"/>
  <c r="AV37" i="11"/>
  <c r="AO41" i="11"/>
  <c r="O52" i="11"/>
  <c r="O14" i="11"/>
  <c r="O22" i="11"/>
  <c r="D30" i="11"/>
  <c r="AV31" i="11"/>
  <c r="AR33" i="11"/>
  <c r="D35" i="11"/>
  <c r="AR36" i="11"/>
  <c r="M37" i="11"/>
  <c r="S7" i="11"/>
  <c r="S15" i="11"/>
  <c r="S23" i="11"/>
  <c r="D11" i="11"/>
  <c r="O12" i="11"/>
  <c r="D19" i="11"/>
  <c r="O20" i="11"/>
  <c r="D27" i="11"/>
  <c r="O28" i="11"/>
  <c r="AV33" i="11"/>
  <c r="AR34" i="11"/>
  <c r="AR38" i="11"/>
  <c r="M39" i="11"/>
  <c r="D41" i="11"/>
  <c r="AR44" i="11"/>
  <c r="O26" i="11"/>
  <c r="AR30" i="11"/>
  <c r="AV34" i="11"/>
  <c r="AR35" i="11"/>
  <c r="AR40" i="11"/>
  <c r="O8" i="11"/>
  <c r="O16" i="11"/>
  <c r="O24" i="11"/>
  <c r="AR31" i="11"/>
  <c r="S8" i="10"/>
  <c r="S16" i="10"/>
  <c r="D34" i="10"/>
  <c r="D15" i="10"/>
  <c r="AV30" i="10"/>
  <c r="D46" i="10"/>
  <c r="D44" i="10"/>
  <c r="D7" i="10"/>
  <c r="D23" i="10"/>
  <c r="D53" i="10"/>
  <c r="D25" i="10"/>
  <c r="D37" i="10"/>
  <c r="AV38" i="10"/>
  <c r="D32" i="10"/>
  <c r="D39" i="10"/>
  <c r="D13" i="10"/>
  <c r="D21" i="10"/>
  <c r="D42" i="10"/>
  <c r="O10" i="10"/>
  <c r="S12" i="10"/>
  <c r="O18" i="10"/>
  <c r="S20" i="10"/>
  <c r="O26" i="10"/>
  <c r="S28" i="10"/>
  <c r="AR30" i="10"/>
  <c r="AR35" i="10"/>
  <c r="AR41" i="10"/>
  <c r="AO43" i="10"/>
  <c r="O54" i="10"/>
  <c r="O9" i="10"/>
  <c r="O17" i="10"/>
  <c r="D24" i="10"/>
  <c r="O25" i="10"/>
  <c r="AR39" i="10"/>
  <c r="D41" i="10"/>
  <c r="O8" i="10"/>
  <c r="S10" i="10"/>
  <c r="O16" i="10"/>
  <c r="S18" i="10"/>
  <c r="O24" i="10"/>
  <c r="S26" i="10"/>
  <c r="AR31" i="10"/>
  <c r="AR36" i="10"/>
  <c r="AO38" i="10"/>
  <c r="AR43" i="10"/>
  <c r="O7" i="10"/>
  <c r="O15" i="10"/>
  <c r="O23" i="10"/>
  <c r="AR40" i="10"/>
  <c r="D43" i="10"/>
  <c r="AR46" i="10"/>
  <c r="O14" i="10"/>
  <c r="O22" i="10"/>
  <c r="AR32" i="10"/>
  <c r="AR38" i="10"/>
  <c r="AR44" i="10"/>
  <c r="O13" i="10"/>
  <c r="O21" i="10"/>
  <c r="AV40" i="10"/>
  <c r="AR42" i="10"/>
  <c r="O12" i="10"/>
  <c r="O20" i="10"/>
  <c r="O28" i="10"/>
  <c r="AR34" i="10"/>
  <c r="AR45" i="10"/>
  <c r="O11" i="10"/>
  <c r="O19" i="10"/>
  <c r="O27" i="10"/>
  <c r="S8" i="9"/>
  <c r="D13" i="9"/>
  <c r="S16" i="9"/>
  <c r="D23" i="9"/>
  <c r="D32" i="9"/>
  <c r="D39" i="9"/>
  <c r="D42" i="9"/>
  <c r="D7" i="9"/>
  <c r="D15" i="9"/>
  <c r="D11" i="9"/>
  <c r="D31" i="9"/>
  <c r="S10" i="9"/>
  <c r="D25" i="9"/>
  <c r="D46" i="9"/>
  <c r="D21" i="9"/>
  <c r="D27" i="9"/>
  <c r="O10" i="9"/>
  <c r="S12" i="9"/>
  <c r="O18" i="9"/>
  <c r="S20" i="9"/>
  <c r="O26" i="9"/>
  <c r="S28" i="9"/>
  <c r="AR30" i="9"/>
  <c r="AR35" i="9"/>
  <c r="AR41" i="9"/>
  <c r="AO43" i="9"/>
  <c r="O54" i="9"/>
  <c r="O9" i="9"/>
  <c r="O17" i="9"/>
  <c r="O25" i="9"/>
  <c r="AR39" i="9"/>
  <c r="D41" i="9"/>
  <c r="O8" i="9"/>
  <c r="O16" i="9"/>
  <c r="S18" i="9"/>
  <c r="O24" i="9"/>
  <c r="S26" i="9"/>
  <c r="AR31" i="9"/>
  <c r="AR36" i="9"/>
  <c r="AR43" i="9"/>
  <c r="D6" i="9"/>
  <c r="O7" i="9"/>
  <c r="D14" i="9"/>
  <c r="O15" i="9"/>
  <c r="D22" i="9"/>
  <c r="O23" i="9"/>
  <c r="AR40" i="9"/>
  <c r="D43" i="9"/>
  <c r="AR46" i="9"/>
  <c r="O14" i="9"/>
  <c r="O22" i="9"/>
  <c r="AR32" i="9"/>
  <c r="AR38" i="9"/>
  <c r="AR44" i="9"/>
  <c r="O13" i="9"/>
  <c r="O21" i="9"/>
  <c r="D38" i="9"/>
  <c r="AV40" i="9"/>
  <c r="AR42" i="9"/>
  <c r="O12" i="9"/>
  <c r="O20" i="9"/>
  <c r="O28" i="9"/>
  <c r="AR34" i="9"/>
  <c r="AR45" i="9"/>
  <c r="O11" i="9"/>
  <c r="O19" i="9"/>
  <c r="O27" i="9"/>
  <c r="S7" i="8"/>
  <c r="AV32" i="8"/>
  <c r="S14" i="8"/>
  <c r="O54" i="8"/>
  <c r="AV38" i="8"/>
  <c r="AO43" i="8"/>
  <c r="O9" i="8"/>
  <c r="O17" i="8"/>
  <c r="O25" i="8"/>
  <c r="AR39" i="8"/>
  <c r="S10" i="8"/>
  <c r="S18" i="8"/>
  <c r="S26" i="8"/>
  <c r="O7" i="8"/>
  <c r="O15" i="8"/>
  <c r="O23" i="8"/>
  <c r="AR40" i="8"/>
  <c r="AR46" i="8"/>
  <c r="O14" i="8"/>
  <c r="O22" i="8"/>
  <c r="AR32" i="8"/>
  <c r="AR38" i="8"/>
  <c r="M39" i="8"/>
  <c r="AR44" i="8"/>
  <c r="AO38" i="8"/>
  <c r="O13" i="8"/>
  <c r="O21" i="8"/>
  <c r="AV40" i="8"/>
  <c r="AR42" i="8"/>
  <c r="O11" i="8"/>
  <c r="O19" i="8"/>
  <c r="O27" i="8"/>
  <c r="O7" i="6"/>
  <c r="O28" i="6"/>
  <c r="AR42" i="6"/>
  <c r="AO46" i="6"/>
  <c r="O13" i="6"/>
  <c r="AV39" i="6"/>
  <c r="O17" i="6"/>
  <c r="O19" i="6"/>
  <c r="D54" i="6"/>
  <c r="S14" i="6"/>
  <c r="O9" i="6"/>
  <c r="M41" i="6"/>
  <c r="S20" i="6"/>
  <c r="D24" i="6"/>
  <c r="AR40" i="6"/>
  <c r="AO42" i="6"/>
  <c r="M43" i="6"/>
  <c r="O12" i="6"/>
  <c r="S13" i="6"/>
  <c r="D16" i="6"/>
  <c r="D22" i="6"/>
  <c r="O23" i="6"/>
  <c r="M38" i="6"/>
  <c r="AR46" i="6"/>
  <c r="AO37" i="6"/>
  <c r="S12" i="6"/>
  <c r="O15" i="6"/>
  <c r="D18" i="6"/>
  <c r="O21" i="6"/>
  <c r="O25" i="6"/>
  <c r="AR37" i="6"/>
  <c r="AV43" i="6"/>
  <c r="D6" i="6"/>
  <c r="O11" i="6"/>
  <c r="S15" i="6"/>
  <c r="S21" i="6"/>
  <c r="O26" i="6"/>
  <c r="AR39" i="6"/>
  <c r="S7" i="6"/>
  <c r="S25" i="6"/>
  <c r="D40" i="6"/>
  <c r="D27" i="6"/>
  <c r="D41" i="6"/>
  <c r="D8" i="6"/>
  <c r="D38" i="6"/>
  <c r="D10" i="6"/>
  <c r="S9" i="4"/>
  <c r="O26" i="4"/>
  <c r="M39" i="4"/>
  <c r="M41" i="4"/>
  <c r="O8" i="4"/>
  <c r="AV40" i="4"/>
  <c r="D41" i="4"/>
  <c r="O12" i="4"/>
  <c r="S19" i="4"/>
  <c r="O21" i="4"/>
  <c r="AO36" i="4"/>
  <c r="O7" i="4"/>
  <c r="O25" i="4"/>
  <c r="AR40" i="4"/>
  <c r="O16" i="4"/>
  <c r="O15" i="4"/>
  <c r="D39" i="4"/>
  <c r="AR36" i="4"/>
  <c r="AO38" i="4"/>
  <c r="AR44" i="4"/>
  <c r="D12" i="4"/>
  <c r="D18" i="4"/>
  <c r="S8" i="4"/>
  <c r="O11" i="4"/>
  <c r="O17" i="4"/>
  <c r="O28" i="4"/>
  <c r="AR38" i="4"/>
  <c r="D10" i="4"/>
  <c r="S11" i="4"/>
  <c r="S17" i="4"/>
  <c r="D20" i="4"/>
  <c r="O9" i="4"/>
  <c r="O13" i="4"/>
  <c r="S16" i="4"/>
  <c r="O19" i="4"/>
  <c r="D22" i="4"/>
  <c r="O23" i="4"/>
  <c r="M37" i="4"/>
  <c r="S28" i="4"/>
  <c r="AV44" i="4"/>
  <c r="D52" i="4"/>
  <c r="D6" i="4"/>
  <c r="D24" i="4"/>
  <c r="D27" i="4"/>
  <c r="D14" i="4"/>
  <c r="S23" i="4"/>
  <c r="S26" i="4"/>
  <c r="O51" i="4"/>
  <c r="D37" i="4"/>
  <c r="M43" i="3"/>
  <c r="S20" i="3"/>
  <c r="S7" i="3"/>
  <c r="S13" i="3"/>
  <c r="D43" i="3"/>
  <c r="O19" i="3"/>
  <c r="O9" i="3"/>
  <c r="D10" i="3"/>
  <c r="D54" i="3"/>
  <c r="AV40" i="3"/>
  <c r="O13" i="3"/>
  <c r="AO37" i="3"/>
  <c r="D14" i="3"/>
  <c r="S21" i="3"/>
  <c r="AR37" i="3"/>
  <c r="D27" i="3"/>
  <c r="O27" i="3"/>
  <c r="S25" i="3"/>
  <c r="D41" i="3"/>
  <c r="AV39" i="3"/>
  <c r="D24" i="3"/>
  <c r="AO42" i="3"/>
  <c r="O15" i="3"/>
  <c r="O18" i="3"/>
  <c r="O26" i="3"/>
  <c r="M39" i="3"/>
  <c r="AR42" i="3"/>
  <c r="AO46" i="3"/>
  <c r="S12" i="3"/>
  <c r="O21" i="3"/>
  <c r="O23" i="3"/>
  <c r="AR33" i="3"/>
  <c r="AR38" i="3"/>
  <c r="AR44" i="3"/>
  <c r="AR46" i="3"/>
  <c r="D18" i="3"/>
  <c r="AO38" i="3"/>
  <c r="AO41" i="3"/>
  <c r="O11" i="3"/>
  <c r="S15" i="3"/>
  <c r="O17" i="3"/>
  <c r="AR30" i="3"/>
  <c r="D6" i="3"/>
  <c r="D22" i="3"/>
  <c r="O7" i="3"/>
  <c r="O10" i="3"/>
  <c r="O25" i="3"/>
  <c r="O28" i="3"/>
  <c r="M38" i="2"/>
  <c r="AR37" i="2"/>
  <c r="AR39" i="2"/>
  <c r="AR40" i="2"/>
  <c r="M41" i="2"/>
  <c r="O18" i="2"/>
  <c r="O24" i="2"/>
  <c r="O9" i="2"/>
  <c r="O7" i="2"/>
  <c r="O14" i="2"/>
  <c r="O13" i="2"/>
  <c r="O22" i="2"/>
  <c r="S13" i="2"/>
  <c r="O11" i="2"/>
  <c r="O16" i="2"/>
  <c r="O27" i="2"/>
  <c r="O20" i="2"/>
  <c r="AO37" i="2"/>
  <c r="O12" i="2"/>
  <c r="O15" i="2"/>
  <c r="AR30" i="2"/>
  <c r="AR31" i="2"/>
  <c r="AR33" i="2"/>
  <c r="AR34" i="2"/>
  <c r="AR35" i="2"/>
  <c r="M39" i="2"/>
  <c r="O17" i="2"/>
  <c r="O26" i="2"/>
  <c r="AR38" i="2"/>
  <c r="AO40" i="2"/>
  <c r="O8" i="2"/>
  <c r="O19" i="2"/>
  <c r="O23" i="2"/>
  <c r="O28" i="2"/>
  <c r="O10" i="2"/>
  <c r="O21" i="2"/>
  <c r="O25" i="2"/>
  <c r="AR36" i="2"/>
  <c r="AR41" i="2"/>
  <c r="AR42" i="2"/>
  <c r="AR43" i="2"/>
  <c r="AO44" i="2"/>
  <c r="D22" i="2"/>
  <c r="S24" i="2"/>
  <c r="O50" i="2"/>
  <c r="D12" i="2"/>
  <c r="S11" i="6"/>
  <c r="S19" i="6"/>
  <c r="S23" i="6"/>
  <c r="S28" i="6"/>
  <c r="AO39" i="6"/>
  <c r="AV42" i="6"/>
  <c r="AV46" i="6"/>
  <c r="O8" i="6"/>
  <c r="O16" i="6"/>
  <c r="AV30" i="6"/>
  <c r="AR31" i="6"/>
  <c r="AV34" i="6"/>
  <c r="AR35" i="6"/>
  <c r="D37" i="6"/>
  <c r="AR41" i="6"/>
  <c r="AV44" i="6"/>
  <c r="AR45" i="6"/>
  <c r="S9" i="6"/>
  <c r="S17" i="6"/>
  <c r="S26" i="6"/>
  <c r="O53" i="6"/>
  <c r="O14" i="6"/>
  <c r="O22" i="6"/>
  <c r="AV31" i="6"/>
  <c r="AR32" i="6"/>
  <c r="AV35" i="6"/>
  <c r="AR36" i="6"/>
  <c r="AR43" i="6"/>
  <c r="AV45" i="6"/>
  <c r="D52" i="6"/>
  <c r="O20" i="6"/>
  <c r="O24" i="6"/>
  <c r="AV32" i="6"/>
  <c r="AV36" i="6"/>
  <c r="AR38" i="6"/>
  <c r="O10" i="6"/>
  <c r="O18" i="6"/>
  <c r="O27" i="6"/>
  <c r="AR30" i="6"/>
  <c r="AR34" i="6"/>
  <c r="D7" i="4"/>
  <c r="D15" i="4"/>
  <c r="AV30" i="4"/>
  <c r="AR31" i="4"/>
  <c r="AV33" i="4"/>
  <c r="AR34" i="4"/>
  <c r="D36" i="4"/>
  <c r="AR39" i="4"/>
  <c r="M40" i="4"/>
  <c r="AV42" i="4"/>
  <c r="AR43" i="4"/>
  <c r="M44" i="4"/>
  <c r="D13" i="4"/>
  <c r="O14" i="4"/>
  <c r="D21" i="4"/>
  <c r="O22" i="4"/>
  <c r="D25" i="4"/>
  <c r="AV31" i="4"/>
  <c r="AV34" i="4"/>
  <c r="AR35" i="4"/>
  <c r="D38" i="4"/>
  <c r="AR41" i="4"/>
  <c r="AV43" i="4"/>
  <c r="D50" i="4"/>
  <c r="O20" i="4"/>
  <c r="O24" i="4"/>
  <c r="AV35" i="4"/>
  <c r="AR37" i="4"/>
  <c r="O10" i="4"/>
  <c r="O18" i="4"/>
  <c r="O27" i="4"/>
  <c r="AR30" i="4"/>
  <c r="AR33" i="4"/>
  <c r="D9" i="3"/>
  <c r="D42" i="3"/>
  <c r="D16" i="3"/>
  <c r="S19" i="3"/>
  <c r="S28" i="3"/>
  <c r="AV46" i="3"/>
  <c r="O8" i="3"/>
  <c r="O16" i="3"/>
  <c r="AV30" i="3"/>
  <c r="AR31" i="3"/>
  <c r="AV33" i="3"/>
  <c r="AR34" i="3"/>
  <c r="AR36" i="3"/>
  <c r="D38" i="3"/>
  <c r="AR41" i="3"/>
  <c r="AV44" i="3"/>
  <c r="AR45" i="3"/>
  <c r="D17" i="3"/>
  <c r="D26" i="3"/>
  <c r="D35" i="3"/>
  <c r="D37" i="3"/>
  <c r="D53" i="3"/>
  <c r="D8" i="3"/>
  <c r="S11" i="3"/>
  <c r="S23" i="3"/>
  <c r="AO40" i="3"/>
  <c r="AR40" i="3"/>
  <c r="O14" i="3"/>
  <c r="O22" i="3"/>
  <c r="AV31" i="3"/>
  <c r="AV34" i="3"/>
  <c r="AR35" i="3"/>
  <c r="AV36" i="3"/>
  <c r="AR43" i="3"/>
  <c r="AV45" i="3"/>
  <c r="D52" i="3"/>
  <c r="O12" i="3"/>
  <c r="O20" i="3"/>
  <c r="O24" i="3"/>
  <c r="AR39" i="3"/>
  <c r="S6" i="2"/>
  <c r="S15" i="2"/>
  <c r="S21" i="2"/>
  <c r="AV38" i="2"/>
  <c r="S14" i="2"/>
  <c r="S20" i="2"/>
  <c r="AV41" i="2"/>
  <c r="S7" i="2"/>
  <c r="S25" i="2"/>
  <c r="AV39" i="2"/>
  <c r="D16" i="2"/>
  <c r="AV35" i="2"/>
  <c r="D8" i="2"/>
  <c r="S11" i="2"/>
  <c r="S19" i="2"/>
  <c r="S23" i="2"/>
  <c r="S28" i="2"/>
  <c r="AV40" i="2"/>
  <c r="AV44" i="2"/>
  <c r="S10" i="2"/>
  <c r="S18" i="2"/>
  <c r="S27" i="2"/>
  <c r="AV30" i="2"/>
  <c r="AV33" i="2"/>
  <c r="D36" i="2"/>
  <c r="AV42" i="2"/>
  <c r="O52" i="2"/>
  <c r="D31" i="2"/>
  <c r="D34" i="2"/>
  <c r="D43" i="2"/>
  <c r="S9" i="2"/>
  <c r="S17" i="2"/>
  <c r="S26" i="2"/>
  <c r="O51" i="2"/>
  <c r="M36" i="2"/>
  <c r="D37" i="2"/>
  <c r="B6" i="1"/>
  <c r="AR70" i="18" l="1"/>
  <c r="O27" i="18"/>
  <c r="O15" i="18"/>
  <c r="AR66" i="23"/>
  <c r="O50" i="18"/>
  <c r="AR69" i="18"/>
  <c r="O24" i="23"/>
  <c r="AR33" i="23"/>
  <c r="AR45" i="23"/>
  <c r="O11" i="18"/>
  <c r="O17" i="18"/>
  <c r="O25" i="18"/>
  <c r="O59" i="18"/>
  <c r="O51" i="18"/>
  <c r="AR53" i="23"/>
  <c r="O38" i="18"/>
  <c r="O22" i="18"/>
  <c r="AR66" i="18"/>
  <c r="AR31" i="23"/>
  <c r="AR58" i="23"/>
  <c r="AR39" i="23"/>
  <c r="AR63" i="23"/>
  <c r="AR32" i="23"/>
  <c r="AR51" i="23"/>
  <c r="AR56" i="23"/>
  <c r="AR34" i="23"/>
  <c r="AR37" i="23"/>
  <c r="AR29" i="23"/>
  <c r="O18" i="20"/>
  <c r="AR50" i="23"/>
  <c r="O14" i="20"/>
  <c r="AR47" i="23"/>
  <c r="AR46" i="23"/>
  <c r="AR35" i="23"/>
  <c r="AR41" i="23"/>
  <c r="AR64" i="23"/>
  <c r="AR65" i="23"/>
  <c r="AR49" i="23"/>
  <c r="AR30" i="23"/>
  <c r="AR62" i="23"/>
  <c r="O18" i="18"/>
  <c r="O41" i="18"/>
  <c r="AR40" i="23"/>
  <c r="O26" i="23"/>
  <c r="AR61" i="23"/>
  <c r="AR38" i="23"/>
  <c r="AR28" i="23"/>
  <c r="AR57" i="23"/>
  <c r="AR44" i="23"/>
  <c r="O36" i="17"/>
  <c r="AR55" i="23"/>
  <c r="O7" i="20"/>
  <c r="O16" i="20"/>
  <c r="O19" i="20"/>
  <c r="O10" i="20"/>
  <c r="AR60" i="23"/>
  <c r="AR36" i="23"/>
  <c r="O25" i="23"/>
  <c r="AR52" i="23"/>
  <c r="O48" i="25"/>
  <c r="O47" i="25"/>
  <c r="O49" i="25"/>
  <c r="O17" i="27"/>
  <c r="O13" i="27"/>
  <c r="O12" i="27"/>
  <c r="O15" i="27"/>
  <c r="O16" i="27"/>
  <c r="O11" i="27"/>
  <c r="O107" i="25"/>
  <c r="O96" i="25"/>
  <c r="O99" i="25"/>
  <c r="O29" i="25"/>
  <c r="O100" i="25"/>
  <c r="O36" i="25"/>
  <c r="O64" i="25"/>
  <c r="O52" i="25"/>
  <c r="O16" i="25"/>
  <c r="O15" i="25"/>
  <c r="O13" i="25"/>
  <c r="O12" i="25"/>
  <c r="O75" i="25"/>
  <c r="O41" i="25"/>
  <c r="O109" i="25"/>
  <c r="O84" i="25"/>
  <c r="O91" i="25"/>
  <c r="O24" i="25"/>
  <c r="O92" i="25"/>
  <c r="O33" i="25"/>
  <c r="O40" i="25"/>
  <c r="O8" i="25"/>
  <c r="O37" i="25"/>
  <c r="O32" i="25"/>
  <c r="O21" i="25"/>
  <c r="O95" i="25"/>
  <c r="O45" i="25"/>
  <c r="O65" i="25"/>
  <c r="O57" i="25"/>
  <c r="O108" i="25"/>
  <c r="O68" i="25"/>
  <c r="O80" i="25"/>
  <c r="O61" i="25"/>
  <c r="O88" i="25"/>
  <c r="O83" i="25"/>
  <c r="O59" i="25"/>
  <c r="O53" i="25"/>
  <c r="O71" i="25"/>
  <c r="O76" i="25"/>
  <c r="O67" i="25"/>
  <c r="O85" i="25"/>
  <c r="O35" i="25"/>
  <c r="O104" i="25"/>
  <c r="O103" i="25"/>
  <c r="O19" i="25"/>
  <c r="O81" i="25"/>
  <c r="O69" i="25"/>
  <c r="O72" i="25"/>
  <c r="O97" i="25"/>
  <c r="O60" i="25"/>
  <c r="O93" i="25"/>
  <c r="O56" i="25"/>
  <c r="O7" i="25"/>
  <c r="O55" i="25"/>
  <c r="O89" i="25"/>
  <c r="O87" i="25"/>
  <c r="O63" i="25"/>
  <c r="O51" i="25"/>
  <c r="O17" i="25"/>
  <c r="O79" i="25"/>
  <c r="O39" i="25"/>
  <c r="O23" i="25"/>
  <c r="O101" i="25"/>
  <c r="O9" i="25"/>
  <c r="O44" i="25"/>
  <c r="O77" i="25"/>
  <c r="O28" i="25"/>
  <c r="O11" i="25"/>
  <c r="O27" i="25"/>
  <c r="O105" i="25"/>
  <c r="O73" i="25"/>
  <c r="O31" i="25"/>
  <c r="O43" i="25"/>
  <c r="O25" i="25"/>
  <c r="O20" i="25"/>
  <c r="AR64" i="22"/>
  <c r="AR62" i="22"/>
  <c r="AR37" i="22"/>
  <c r="AR31" i="22"/>
  <c r="O21" i="22"/>
  <c r="O9" i="22"/>
  <c r="AR57" i="22"/>
  <c r="AR52" i="22"/>
  <c r="AR49" i="22"/>
  <c r="AR44" i="22"/>
  <c r="O28" i="22"/>
  <c r="O16" i="22"/>
  <c r="AR39" i="22"/>
  <c r="O23" i="22"/>
  <c r="O11" i="22"/>
  <c r="AR46" i="22"/>
  <c r="AR34" i="22"/>
  <c r="O18" i="22"/>
  <c r="AR60" i="22"/>
  <c r="AR55" i="22"/>
  <c r="AR41" i="22"/>
  <c r="AR32" i="22"/>
  <c r="O25" i="22"/>
  <c r="O13" i="22"/>
  <c r="AR63" i="22"/>
  <c r="AR50" i="22"/>
  <c r="AR36" i="22"/>
  <c r="O20" i="22"/>
  <c r="O8" i="22"/>
  <c r="AR58" i="22"/>
  <c r="AR53" i="22"/>
  <c r="AR43" i="22"/>
  <c r="O27" i="22"/>
  <c r="O15" i="22"/>
  <c r="AR38" i="22"/>
  <c r="O22" i="22"/>
  <c r="O10" i="22"/>
  <c r="AR61" i="22"/>
  <c r="AR45" i="22"/>
  <c r="AR33" i="22"/>
  <c r="O29" i="22"/>
  <c r="O17" i="22"/>
  <c r="AR56" i="22"/>
  <c r="AR51" i="22"/>
  <c r="AR40" i="22"/>
  <c r="O24" i="22"/>
  <c r="O12" i="22"/>
  <c r="AR47" i="22"/>
  <c r="AR35" i="22"/>
  <c r="O19" i="22"/>
  <c r="O7" i="22"/>
  <c r="AR59" i="22"/>
  <c r="AR54" i="22"/>
  <c r="AR42" i="22"/>
  <c r="O26" i="22"/>
  <c r="O14" i="22"/>
  <c r="O31" i="21"/>
  <c r="O28" i="21"/>
  <c r="O29" i="21"/>
  <c r="O26" i="21"/>
  <c r="O37" i="18"/>
  <c r="O27" i="21"/>
  <c r="S38" i="18"/>
  <c r="D38" i="18"/>
  <c r="D76" i="18"/>
  <c r="AV76" i="18"/>
  <c r="D39" i="18"/>
  <c r="S39" i="18"/>
  <c r="AV75" i="18"/>
  <c r="D75" i="18"/>
  <c r="D41" i="18"/>
  <c r="S41" i="18"/>
  <c r="D72" i="18"/>
  <c r="AV72" i="18"/>
  <c r="AV77" i="18"/>
  <c r="D77" i="18"/>
  <c r="S44" i="18"/>
  <c r="D44" i="18"/>
  <c r="D40" i="18"/>
  <c r="S40" i="18"/>
  <c r="D66" i="18"/>
  <c r="AV66" i="18"/>
  <c r="AV74" i="18"/>
  <c r="D74" i="18"/>
  <c r="S42" i="18"/>
  <c r="D42" i="18"/>
  <c r="S43" i="18"/>
  <c r="D43" i="18"/>
  <c r="D67" i="18"/>
  <c r="AV67" i="18"/>
  <c r="S42" i="17"/>
  <c r="D74" i="17"/>
  <c r="S43" i="17"/>
  <c r="D43" i="17"/>
  <c r="D44" i="17"/>
  <c r="D66" i="17"/>
  <c r="S41" i="17"/>
  <c r="D41" i="17"/>
  <c r="D76" i="17"/>
  <c r="AV76" i="17"/>
  <c r="AV73" i="17"/>
  <c r="D73" i="17"/>
  <c r="D40" i="17"/>
  <c r="S40" i="17"/>
  <c r="D38" i="17"/>
  <c r="S38" i="17"/>
  <c r="AV77" i="17"/>
  <c r="D77" i="17"/>
  <c r="D75" i="17"/>
  <c r="AV75" i="17"/>
  <c r="D39" i="17"/>
  <c r="S39" i="17"/>
  <c r="D67" i="17"/>
  <c r="AV67" i="17"/>
  <c r="D72" i="17"/>
  <c r="AV72" i="17"/>
  <c r="O36" i="15"/>
  <c r="AT41" i="1"/>
  <c r="AR41" i="1"/>
  <c r="C41" i="1"/>
  <c r="D41" i="1" s="1"/>
  <c r="B41" i="1"/>
  <c r="AR40" i="1"/>
  <c r="AV40" i="1"/>
  <c r="B40" i="1"/>
  <c r="AR39" i="1"/>
  <c r="B39" i="1"/>
  <c r="AR38" i="1"/>
  <c r="D38" i="1"/>
  <c r="B38" i="1"/>
  <c r="AR37" i="1"/>
  <c r="AV37" i="1"/>
  <c r="B37" i="1"/>
  <c r="AR36" i="1"/>
  <c r="AV36" i="1"/>
  <c r="B36" i="1"/>
  <c r="AR35" i="1"/>
  <c r="D35" i="1"/>
  <c r="B35" i="1"/>
  <c r="AR34" i="1"/>
  <c r="D34" i="1"/>
  <c r="B34" i="1"/>
  <c r="AR33" i="1"/>
  <c r="AV33" i="1"/>
  <c r="B33" i="1"/>
  <c r="AR32" i="1"/>
  <c r="D32" i="1"/>
  <c r="B32" i="1"/>
  <c r="AR31" i="1"/>
  <c r="AV31" i="1"/>
  <c r="B31" i="1"/>
  <c r="AT30" i="1"/>
  <c r="AR30" i="1"/>
  <c r="C30" i="1"/>
  <c r="D30" i="1" s="1"/>
  <c r="B30" i="1"/>
  <c r="AT29" i="1"/>
  <c r="AR29" i="1"/>
  <c r="C29" i="1"/>
  <c r="D29" i="1" s="1"/>
  <c r="B29" i="1"/>
  <c r="AR28" i="1"/>
  <c r="AV28" i="1"/>
  <c r="B28" i="1"/>
  <c r="AR27" i="1"/>
  <c r="D27" i="1"/>
  <c r="B27" i="1"/>
  <c r="D26" i="1"/>
  <c r="Q25" i="1"/>
  <c r="C25" i="1"/>
  <c r="D25" i="1" s="1"/>
  <c r="B25" i="1"/>
  <c r="Q24" i="1"/>
  <c r="C24" i="1"/>
  <c r="D24" i="1" s="1"/>
  <c r="B24" i="1"/>
  <c r="C23" i="1"/>
  <c r="S23" i="1" s="1"/>
  <c r="B23" i="1"/>
  <c r="Q23" i="1"/>
  <c r="C22" i="1"/>
  <c r="D22" i="1" s="1"/>
  <c r="B22" i="1"/>
  <c r="Q21" i="1"/>
  <c r="C21" i="1"/>
  <c r="S21" i="1" s="1"/>
  <c r="B21" i="1"/>
  <c r="Q20" i="1"/>
  <c r="C20" i="1"/>
  <c r="S20" i="1" s="1"/>
  <c r="B20" i="1"/>
  <c r="Q19" i="1"/>
  <c r="C19" i="1"/>
  <c r="D19" i="1" s="1"/>
  <c r="B19" i="1"/>
  <c r="Q18" i="1"/>
  <c r="D18" i="1"/>
  <c r="B18" i="1"/>
  <c r="C17" i="1"/>
  <c r="D17" i="1" s="1"/>
  <c r="B17" i="1"/>
  <c r="Q16" i="1"/>
  <c r="C16" i="1"/>
  <c r="S16" i="1" s="1"/>
  <c r="B16" i="1"/>
  <c r="Q15" i="1"/>
  <c r="C15" i="1"/>
  <c r="S15" i="1" s="1"/>
  <c r="B15" i="1"/>
  <c r="Q14" i="1"/>
  <c r="C14" i="1"/>
  <c r="D14" i="1" s="1"/>
  <c r="B14" i="1"/>
  <c r="Q13" i="1"/>
  <c r="C13" i="1"/>
  <c r="D13" i="1" s="1"/>
  <c r="B13" i="1"/>
  <c r="Q12" i="1"/>
  <c r="C12" i="1"/>
  <c r="S12" i="1" s="1"/>
  <c r="B12" i="1"/>
  <c r="Q11" i="1"/>
  <c r="C11" i="1"/>
  <c r="D11" i="1" s="1"/>
  <c r="B11" i="1"/>
  <c r="Q10" i="1"/>
  <c r="C10" i="1"/>
  <c r="D10" i="1" s="1"/>
  <c r="B10" i="1"/>
  <c r="Q9" i="1"/>
  <c r="C9" i="1"/>
  <c r="D9" i="1" s="1"/>
  <c r="B9" i="1"/>
  <c r="D6" i="1"/>
  <c r="D5" i="1"/>
  <c r="D4" i="1"/>
  <c r="H3" i="1"/>
  <c r="D3" i="1"/>
  <c r="D2" i="1"/>
  <c r="O13" i="20" l="1"/>
  <c r="O22" i="20"/>
  <c r="O20" i="20"/>
  <c r="O21" i="20"/>
  <c r="O12" i="20"/>
  <c r="O23" i="20"/>
  <c r="AV39" i="1"/>
  <c r="D39" i="1"/>
  <c r="D16" i="1"/>
  <c r="S17" i="1"/>
  <c r="D23" i="1"/>
  <c r="D33" i="1"/>
  <c r="D15" i="1"/>
  <c r="D31" i="1"/>
  <c r="S18" i="1"/>
  <c r="S24" i="1"/>
  <c r="S10" i="1"/>
  <c r="AV32" i="1"/>
  <c r="S9" i="1"/>
  <c r="AV35" i="1"/>
  <c r="D40" i="1"/>
  <c r="AV27" i="1"/>
  <c r="AV41" i="1"/>
  <c r="S19" i="1"/>
  <c r="S25" i="1"/>
  <c r="AV34" i="1"/>
  <c r="S11" i="1"/>
  <c r="D12" i="1"/>
  <c r="S22" i="1"/>
  <c r="D28" i="1"/>
  <c r="S14" i="1"/>
  <c r="AV30" i="1"/>
  <c r="AV38" i="1"/>
  <c r="D21" i="1"/>
  <c r="D37" i="1"/>
  <c r="S13" i="1"/>
  <c r="AV29" i="1"/>
  <c r="D20" i="1"/>
  <c r="D36" i="1"/>
</calcChain>
</file>

<file path=xl/sharedStrings.xml><?xml version="1.0" encoding="utf-8"?>
<sst xmlns="http://schemas.openxmlformats.org/spreadsheetml/2006/main" count="20648" uniqueCount="631">
  <si>
    <t>:mode=ask</t>
  </si>
  <si>
    <t>Description Lengths</t>
  </si>
  <si>
    <t>:IOAccess</t>
  </si>
  <si>
    <t>Application</t>
  </si>
  <si>
    <t>Topic</t>
  </si>
  <si>
    <t>AdviseActive</t>
  </si>
  <si>
    <t>DDEProtocol</t>
  </si>
  <si>
    <t>SecApplication</t>
  </si>
  <si>
    <t>SecTopic</t>
  </si>
  <si>
    <t>SecAdviseActive</t>
  </si>
  <si>
    <t>SecDDEProtocol</t>
  </si>
  <si>
    <t>DFOFlag</t>
  </si>
  <si>
    <t>FBDFlag</t>
  </si>
  <si>
    <t>Yes</t>
  </si>
  <si>
    <t>No</t>
  </si>
  <si>
    <t>:AlarmGroup</t>
  </si>
  <si>
    <t>Group</t>
  </si>
  <si>
    <t>Comment</t>
  </si>
  <si>
    <t>EventLogged</t>
  </si>
  <si>
    <t>EventLoggingPriority</t>
  </si>
  <si>
    <t>LoLoAlarmDisable</t>
  </si>
  <si>
    <t>LoAlarmDisable</t>
  </si>
  <si>
    <t>HiAlarmDisable</t>
  </si>
  <si>
    <t>HiHiAlarmDisable</t>
  </si>
  <si>
    <t>MinDevAlarmDisable</t>
  </si>
  <si>
    <t>MajDevAlarmDisable</t>
  </si>
  <si>
    <t>RocAlarmDisable</t>
  </si>
  <si>
    <t>DSCAlarmDisable</t>
  </si>
  <si>
    <t>LoLoAlarmInhibitor</t>
  </si>
  <si>
    <t>LoAlarmInhibitor</t>
  </si>
  <si>
    <t>HiAlarmInhibitor</t>
  </si>
  <si>
    <t>HiHiAlarmInhibitor</t>
  </si>
  <si>
    <t>MinDevAlarmInhibitor</t>
  </si>
  <si>
    <t>MajDevAlarmInhibitor</t>
  </si>
  <si>
    <t>RocAlarmInhibitor</t>
  </si>
  <si>
    <t>DSCAlarmInhibitor</t>
  </si>
  <si>
    <t>Plant</t>
  </si>
  <si>
    <t>BXX Controller Status</t>
  </si>
  <si>
    <t>:IODisc</t>
  </si>
  <si>
    <t>Logged</t>
  </si>
  <si>
    <t>RetentiveValue</t>
  </si>
  <si>
    <t>InitialDisc</t>
  </si>
  <si>
    <t>OffMsg</t>
  </si>
  <si>
    <t>OnMsg</t>
  </si>
  <si>
    <t>AlarmState</t>
  </si>
  <si>
    <t>AlarmPri</t>
  </si>
  <si>
    <t>DConversion</t>
  </si>
  <si>
    <t>AccessName</t>
  </si>
  <si>
    <t>ItemUseTagname</t>
  </si>
  <si>
    <t>ItemName</t>
  </si>
  <si>
    <t>ReadOnly</t>
  </si>
  <si>
    <t>AlarmComment</t>
  </si>
  <si>
    <t>AlarmAckModel</t>
  </si>
  <si>
    <t>SymbolicName</t>
  </si>
  <si>
    <t>Off</t>
  </si>
  <si>
    <t>Program</t>
  </si>
  <si>
    <t>None</t>
  </si>
  <si>
    <t>Direct</t>
  </si>
  <si>
    <t>Run</t>
  </si>
  <si>
    <t>Disabled</t>
  </si>
  <si>
    <t>Enabled</t>
  </si>
  <si>
    <t>On</t>
  </si>
  <si>
    <t>Normal</t>
  </si>
  <si>
    <t>Fault</t>
  </si>
  <si>
    <t>Present</t>
  </si>
  <si>
    <t>Test</t>
  </si>
  <si>
    <t>Remote</t>
  </si>
  <si>
    <t>Down</t>
  </si>
  <si>
    <t>Ok</t>
  </si>
  <si>
    <t>$SYS$Status</t>
  </si>
  <si>
    <t>:IOReal</t>
  </si>
  <si>
    <t>RetentiveAlarmParameters</t>
  </si>
  <si>
    <t>AlarmValueDeadband</t>
  </si>
  <si>
    <t>AlarmDevDeadband</t>
  </si>
  <si>
    <t>EngUnits</t>
  </si>
  <si>
    <t>InitialValue</t>
  </si>
  <si>
    <t>MinEU</t>
  </si>
  <si>
    <t>MaxEU</t>
  </si>
  <si>
    <t>Deadband</t>
  </si>
  <si>
    <t>LogDeadband</t>
  </si>
  <si>
    <t>LoLoAlarmState</t>
  </si>
  <si>
    <t>LoLoAlarmValue</t>
  </si>
  <si>
    <t>LoLoAlarmPri</t>
  </si>
  <si>
    <t>LoAlarmState</t>
  </si>
  <si>
    <t>LoAlarmValue</t>
  </si>
  <si>
    <t>LoAlarmPri</t>
  </si>
  <si>
    <t>HiAlarmState</t>
  </si>
  <si>
    <t>HiAlarmValue</t>
  </si>
  <si>
    <t>HiAlarmPri</t>
  </si>
  <si>
    <t>HiHiAlarmState</t>
  </si>
  <si>
    <t>HiHiAlarmValue</t>
  </si>
  <si>
    <t>HiHiAlarmPri</t>
  </si>
  <si>
    <t>MinorDevAlarmState</t>
  </si>
  <si>
    <t>MinorDevAlarmValue</t>
  </si>
  <si>
    <t>MinorDevAlarmPri</t>
  </si>
  <si>
    <t>MajorDevAlarmState</t>
  </si>
  <si>
    <t>MajorDevAlarmValue</t>
  </si>
  <si>
    <t>MajorDevAlarmPri</t>
  </si>
  <si>
    <t>DevTarget</t>
  </si>
  <si>
    <t>ROCAlarmState</t>
  </si>
  <si>
    <t>ROCAlarmValue</t>
  </si>
  <si>
    <t>ROCAlarmPri</t>
  </si>
  <si>
    <t>ROCTimeBase</t>
  </si>
  <si>
    <t>MinRaw</t>
  </si>
  <si>
    <t>MaxRaw</t>
  </si>
  <si>
    <t>Conversion</t>
  </si>
  <si>
    <t>Year</t>
  </si>
  <si>
    <t>Min</t>
  </si>
  <si>
    <t>Linear</t>
  </si>
  <si>
    <t>s</t>
  </si>
  <si>
    <t>Month</t>
  </si>
  <si>
    <t>Hr</t>
  </si>
  <si>
    <t>Day</t>
  </si>
  <si>
    <t>\WCYCPU01\ABCIP</t>
  </si>
  <si>
    <t>\\WCYCPU02\ABCIP</t>
  </si>
  <si>
    <t>Station BXX</t>
  </si>
  <si>
    <t>BXXDEV1FI1</t>
  </si>
  <si>
    <t>BXX_DSAB</t>
  </si>
  <si>
    <t>Disabled_Alarms</t>
  </si>
  <si>
    <t>Alarm</t>
  </si>
  <si>
    <t>:IOInt</t>
  </si>
  <si>
    <t>L/s</t>
  </si>
  <si>
    <t>%</t>
  </si>
  <si>
    <t>:MemoryMsg</t>
  </si>
  <si>
    <t>MaxLength</t>
  </si>
  <si>
    <t>InitialMessage</t>
  </si>
  <si>
    <t>ALRM_AGRP</t>
  </si>
  <si>
    <t>$System</t>
  </si>
  <si>
    <t>Indirect Alarm Query</t>
  </si>
  <si>
    <t>Analog Input Tag Name - Indirect</t>
  </si>
  <si>
    <t>:IOMsg</t>
  </si>
  <si>
    <t>Please Type The Reason Here</t>
  </si>
  <si>
    <t>Analog Input Enable Request Alarm - Indirect</t>
  </si>
  <si>
    <t>Analog Input Enable HIHI Alarm - Indirect</t>
  </si>
  <si>
    <t>Analog Input Enable HI Alarm - Indirect</t>
  </si>
  <si>
    <t>Analog Input Enable LO Alarm - Indirect</t>
  </si>
  <si>
    <t>Analog Input Enable LOLO Alarm - Indirect</t>
  </si>
  <si>
    <t>Analog Input Enable Signal Error Alarm - Indirect</t>
  </si>
  <si>
    <t>Analog Input Scan Enable - Indirect</t>
  </si>
  <si>
    <t>Analog Input Alarms Disabled - Indirect</t>
  </si>
  <si>
    <t>Analog Input Signal Error Alarm - Indirect</t>
  </si>
  <si>
    <t>Analog Input On Scan - Indirect</t>
  </si>
  <si>
    <t>Analog Input Simulation Enable - Indirect</t>
  </si>
  <si>
    <t>Analog Input Simulate Alarms Pushbutton Ind Tag</t>
  </si>
  <si>
    <t>Indirect Analog Alarm Reset PB</t>
  </si>
  <si>
    <t>:IndirectAnalog</t>
  </si>
  <si>
    <t>Analog Input Maximum Engineering Units - Indirect</t>
  </si>
  <si>
    <t>Analog Override Value From HMI - Indirect</t>
  </si>
  <si>
    <t>Analog Input Current Value - Indirect</t>
  </si>
  <si>
    <t>Analog Input HIHI - Indirect</t>
  </si>
  <si>
    <t>Analog Input HI - Indirect</t>
  </si>
  <si>
    <t>Analog Input LOLO - Indirect</t>
  </si>
  <si>
    <t>Analog Input LO - Indirect</t>
  </si>
  <si>
    <t>Indirect HIHI Alarm Delay Time Setpoint</t>
  </si>
  <si>
    <t>Indirect LO Alarm Delay Time Setpoint</t>
  </si>
  <si>
    <t>Indirect HI Alarm Delay Time Setpoint</t>
  </si>
  <si>
    <t>Indirect LOLO Alarm Delay Time Setpoint</t>
  </si>
  <si>
    <t>Analog Input Eng Units Range 1 Minimum Value</t>
  </si>
  <si>
    <t>Analog Input Eng Units Range 1 Maximum Value</t>
  </si>
  <si>
    <t>Analog Value Second Units Indirect Tag</t>
  </si>
  <si>
    <t>Analog Value Third Units Indirect Tag</t>
  </si>
  <si>
    <t>Analog Units Visibility Selection - Indirect</t>
  </si>
  <si>
    <t>:IndirectMsg</t>
  </si>
  <si>
    <t>ANIN_SRV</t>
  </si>
  <si>
    <t>Analog Input Alarm Server Indirect Tag</t>
  </si>
  <si>
    <t>:GroupVar</t>
  </si>
  <si>
    <t>ANIN_GRP</t>
  </si>
  <si>
    <t>Analog Input Group - Indirect</t>
  </si>
  <si>
    <t>kPa</t>
  </si>
  <si>
    <t>m3</t>
  </si>
  <si>
    <t>m</t>
  </si>
  <si>
    <t>SLP1 Current</t>
  </si>
  <si>
    <t>A</t>
  </si>
  <si>
    <t>PMP_VIS4</t>
  </si>
  <si>
    <t>Pump Speed Setpoint Visiblity Control</t>
  </si>
  <si>
    <t>Local</t>
  </si>
  <si>
    <t>Stopped</t>
  </si>
  <si>
    <t>Running</t>
  </si>
  <si>
    <t>Not Ready</t>
  </si>
  <si>
    <t>PLT-MAN</t>
  </si>
  <si>
    <t>AUTO</t>
  </si>
  <si>
    <t>Start</t>
  </si>
  <si>
    <t>Stop</t>
  </si>
  <si>
    <t>Ack</t>
  </si>
  <si>
    <t>Reset</t>
  </si>
  <si>
    <t>Bypass</t>
  </si>
  <si>
    <t>:MemoryInt</t>
  </si>
  <si>
    <t>MinValue</t>
  </si>
  <si>
    <t>MaxValue</t>
  </si>
  <si>
    <t>PMP_VIS1</t>
  </si>
  <si>
    <t>Pump Internal Visibility Link - Indirect</t>
  </si>
  <si>
    <t>PMP_VIS2</t>
  </si>
  <si>
    <t>PMP_VIS3</t>
  </si>
  <si>
    <t>h</t>
  </si>
  <si>
    <t>Pump Name - Indirect</t>
  </si>
  <si>
    <t>Pump Feedback Tagname</t>
  </si>
  <si>
    <t>Stroke Feedback Tagname</t>
  </si>
  <si>
    <t>ALRM_PGRP</t>
  </si>
  <si>
    <t>Pump Alarm Query</t>
  </si>
  <si>
    <t>Pump Feedback On Scan Indirect Tag</t>
  </si>
  <si>
    <t>Pump Plant Auto Mode Status - Indirect</t>
  </si>
  <si>
    <t>Pump Plant Auto Stroke Status - Indirect</t>
  </si>
  <si>
    <t>Pump Control Mode - Indirect</t>
  </si>
  <si>
    <t>Pump Plant Manual Stroke Status - Indirect</t>
  </si>
  <si>
    <t>Pump Plant Manual Mode Status - Indirect</t>
  </si>
  <si>
    <t>Pump Stroke Control Mode - Indirect</t>
  </si>
  <si>
    <t>Pump Running Status - Indirect</t>
  </si>
  <si>
    <t>Pump Alarm Ack. Req. - Indirect</t>
  </si>
  <si>
    <t>Pump Plant Manual Stroke Req. - Indirect</t>
  </si>
  <si>
    <t>Pump Plant Manual Mode Req. - Indirect</t>
  </si>
  <si>
    <t>Pump Plant Manual Stop Req. - Indirect</t>
  </si>
  <si>
    <t>Pump Plant Manual Start Req. - Indirect</t>
  </si>
  <si>
    <t>Pump Runtime Reset - Indirect</t>
  </si>
  <si>
    <t>Pump Alarm Enable Pushbutton Indirect Tag</t>
  </si>
  <si>
    <t>Pump Speed Signal Error Enable Indirect Tag</t>
  </si>
  <si>
    <t>Pump Speed Feedback Scan Enable Indirect Tag</t>
  </si>
  <si>
    <t>Pump Fail To Start Enable Ind. Tag</t>
  </si>
  <si>
    <t>Pump Simulate Alarms Pushbutton Indirect Tag</t>
  </si>
  <si>
    <t>Pump Fail To Stop Enable Ind. Tag</t>
  </si>
  <si>
    <t>Pump Simulate Feedback Indirect Tag</t>
  </si>
  <si>
    <t>Pump Uncommanded Start Enable Ind. Tag</t>
  </si>
  <si>
    <t>Pump Uncommanded Stop Enable Ind. Tag</t>
  </si>
  <si>
    <t>Pump Deviation Alarm Enable Indirect Tag</t>
  </si>
  <si>
    <t>Stroke Feedback Signal Error Indirect Tag</t>
  </si>
  <si>
    <t>Stroke Feedback on Scan Indirect Tag</t>
  </si>
  <si>
    <t>Stroke Feedback Signal Error Enable Indirect Tag</t>
  </si>
  <si>
    <t>Stroke Feedback Scan Enable Indirect Tag</t>
  </si>
  <si>
    <t>Stroke Feedback Simulate Value Indirect Tag</t>
  </si>
  <si>
    <t>Stroke Feedback Deviation Alarm Enable Ind. Tag</t>
  </si>
  <si>
    <t>PMP_DC2</t>
  </si>
  <si>
    <t>Pump Signal Engineering Units 2 - Indirect</t>
  </si>
  <si>
    <t>PMP_DC3</t>
  </si>
  <si>
    <t>Pump Signal Engineering Units 3 - Indirect</t>
  </si>
  <si>
    <t>PMP_DEC</t>
  </si>
  <si>
    <t>Pump Signal Decimal Points - Indirect</t>
  </si>
  <si>
    <t>Pump Signal Feedback Indirect Tag</t>
  </si>
  <si>
    <t>Pump Signal Feedback Visible Values Ind. Tag</t>
  </si>
  <si>
    <t>Pump Feedback Override Value Indirect Tag</t>
  </si>
  <si>
    <t>Deviation Alarm Setpoint Indirect Tag</t>
  </si>
  <si>
    <t>Pump Runtime - Indirect</t>
  </si>
  <si>
    <t>Pump Feedback Zero Indirect Tag</t>
  </si>
  <si>
    <t>Pump Feedback Span Indirect Tag</t>
  </si>
  <si>
    <t>Pump Feedback Secondary Eng Value Ind. Tag</t>
  </si>
  <si>
    <t>Pump Feedback Tertiary Eng Value Indirect Tag</t>
  </si>
  <si>
    <t>VFD Pump Manual Speed Setpoint - Indirect Analog</t>
  </si>
  <si>
    <t>Pump Stroke Signal Engineering Units 2 - Indirect</t>
  </si>
  <si>
    <t>Pump Stroke Signal Engineering Units 3 - Indirect</t>
  </si>
  <si>
    <t>Stroke Feedback Indirect Tag</t>
  </si>
  <si>
    <t>Stroke Feedback Number of Visible Units Ind. Tag</t>
  </si>
  <si>
    <t>VFD Pump Stroke Setpoint - Indirect Analog</t>
  </si>
  <si>
    <t>Stroke Feedback Simulation Value Indirect Tag</t>
  </si>
  <si>
    <t>Stroke Deviation Setpoint Indirect Tag</t>
  </si>
  <si>
    <t>Stroke Feedback Zero Scale Indirect Tag</t>
  </si>
  <si>
    <t>Stroke Feedback Spane Indirect Tag</t>
  </si>
  <si>
    <t>Stroke Feedback Secondary Units Indirect Tag</t>
  </si>
  <si>
    <t>Stroke Feedback Tertiary Units Indirect Tag</t>
  </si>
  <si>
    <t>Stroke Deviation Alarm Delay Indirect Tag</t>
  </si>
  <si>
    <t>Deviation Alarm Delay Time Indirect Tag</t>
  </si>
  <si>
    <t>PMP_SRV</t>
  </si>
  <si>
    <t>Pump Alarm Group Server Indirect Tag</t>
  </si>
  <si>
    <t>Pump Group - Indirect</t>
  </si>
  <si>
    <t>BXX WW2 Backup Level</t>
  </si>
  <si>
    <t>BXX WW1 Backup Level</t>
  </si>
  <si>
    <t>BXX Wet Well 2 Level</t>
  </si>
  <si>
    <t>BXX Wet Well 1 Level</t>
  </si>
  <si>
    <t>BXX Diesel Level</t>
  </si>
  <si>
    <t>BXX Disch. Flow</t>
  </si>
  <si>
    <t>BXX Disch. Pressure</t>
  </si>
  <si>
    <t>BXX Pump 1</t>
  </si>
  <si>
    <t>BXX Pump 3</t>
  </si>
  <si>
    <t>BXX Pump 2</t>
  </si>
  <si>
    <t>ATSNAME</t>
  </si>
  <si>
    <t>ATS Name</t>
  </si>
  <si>
    <t>ATS On Emergency Power Indirect Tag</t>
  </si>
  <si>
    <t>ATS Control Mode Indirect Tag</t>
  </si>
  <si>
    <t>ATS on Normal Power Indirect Tag</t>
  </si>
  <si>
    <t>ATS Alarm Enable Indirect Tag</t>
  </si>
  <si>
    <t>ATS Fail to Transfer Enable PB Indirect Tag</t>
  </si>
  <si>
    <t>ATS Plant Manual Stop Req. - Indirect</t>
  </si>
  <si>
    <t>ATS Plant Manual Start Req. - Indirect</t>
  </si>
  <si>
    <t>ATS Runtime Reset Indirect Tag</t>
  </si>
  <si>
    <t>ATS Simulate Alarms PB Indirect Tag</t>
  </si>
  <si>
    <t>ATS Runtime Indirect Tag</t>
  </si>
  <si>
    <t>ATS_VIS1</t>
  </si>
  <si>
    <t>ATS Visible on Generator Pop-up Control</t>
  </si>
  <si>
    <t>Duty Select Info Button Visibility</t>
  </si>
  <si>
    <t>ATS_VIS2</t>
  </si>
  <si>
    <t>Controls Visiblity of Test Buttons</t>
  </si>
  <si>
    <t>Generator Name</t>
  </si>
  <si>
    <t>Generator in Auto Indirect Tag</t>
  </si>
  <si>
    <t>Generator Control Mode Indirect Tag</t>
  </si>
  <si>
    <t>Generator Running Indirect Tag</t>
  </si>
  <si>
    <t>Generator Alarms Enable PB Indirect Tag</t>
  </si>
  <si>
    <t>Generator Alarm Reset Indirect Tag</t>
  </si>
  <si>
    <t>Generator Not In Auto Enable PB Indirect Tag</t>
  </si>
  <si>
    <t>Generator Runtime Reset Indirect Tag</t>
  </si>
  <si>
    <t>Generator Fail to Start Enable PB Indirect Tag</t>
  </si>
  <si>
    <t>Generator Simulate Alarms PB Indirect Tag</t>
  </si>
  <si>
    <t>Generator Fail to Stop Enable Indirect Tag</t>
  </si>
  <si>
    <t>Generator Runtime Indirect Tag</t>
  </si>
  <si>
    <t>GENSET Group - Indirect</t>
  </si>
  <si>
    <t>GEN_SRV</t>
  </si>
  <si>
    <t>Generator Alarm Server Indirect Tag</t>
  </si>
  <si>
    <t>BXX ATS</t>
  </si>
  <si>
    <t>BXX Generator</t>
  </si>
  <si>
    <t>Overflow</t>
  </si>
  <si>
    <t>Hour</t>
  </si>
  <si>
    <t>Minutes</t>
  </si>
  <si>
    <t>Seconds</t>
  </si>
  <si>
    <t>#</t>
  </si>
  <si>
    <t>Overflow Alarm Indirect Tag</t>
  </si>
  <si>
    <t>Overflow Event Present Indirect Tag</t>
  </si>
  <si>
    <t>Overflow Report Reset Indirect Tag</t>
  </si>
  <si>
    <t>Overflow Event Count Indirect Tag</t>
  </si>
  <si>
    <t>Overflow Quantity Indirect Tag</t>
  </si>
  <si>
    <t>Overflow Duration Indirect Tag</t>
  </si>
  <si>
    <t>Overflow End Day Indirect Tag</t>
  </si>
  <si>
    <t>Overflow End Hour Indirect Tag</t>
  </si>
  <si>
    <t>Overflow End Month Indirect Tag</t>
  </si>
  <si>
    <t>Overflow End Minute Indirect Tag</t>
  </si>
  <si>
    <t>Overflow End Second Indirect Tag</t>
  </si>
  <si>
    <t>Overflow End Year Indirect Tag</t>
  </si>
  <si>
    <t>Overflow Start Day Indirect Tag</t>
  </si>
  <si>
    <t>Overflow Start Hour Indirect Tag</t>
  </si>
  <si>
    <t>Overflow Start Month Indirect Tag</t>
  </si>
  <si>
    <t>Overflow Start Minute Indirect Tag</t>
  </si>
  <si>
    <t>Overflow Start Second Indirect Tag</t>
  </si>
  <si>
    <t>Overflow Start Year Indirect Tag</t>
  </si>
  <si>
    <t>BXX Overflow</t>
  </si>
  <si>
    <t>m3/s</t>
  </si>
  <si>
    <t>Position 1 Device 1 Selection Visibility</t>
  </si>
  <si>
    <t>Position 1 Device 2 Selection Visibility</t>
  </si>
  <si>
    <t>Position 1 Device 3 Selection Visibility</t>
  </si>
  <si>
    <t>Position 1 Device 4 Selection Visibility</t>
  </si>
  <si>
    <t>Position 2 Device 1 Selection Visibility</t>
  </si>
  <si>
    <t>Position 2 Device 2 Selection Visibility</t>
  </si>
  <si>
    <t>Position 2 Device 3 Selection Visibility</t>
  </si>
  <si>
    <t>Position 2 Device 4 Selection Visibility</t>
  </si>
  <si>
    <t>Position 3 Device 1 Selection Visibility</t>
  </si>
  <si>
    <t>Position 3 Device 2 Selection Visibility</t>
  </si>
  <si>
    <t>Position 3 Device 3 Selection Visibility</t>
  </si>
  <si>
    <t>Position 3 Device 4 Selection Visibility</t>
  </si>
  <si>
    <t>Position 4 Device 1 Selection Visibility</t>
  </si>
  <si>
    <t>Position 4 Device 2 Selection Visibility</t>
  </si>
  <si>
    <t>Position 4 Device 3 Selection Visibility</t>
  </si>
  <si>
    <t>Position 4 Device 4 Selection Visibility</t>
  </si>
  <si>
    <t>Days</t>
  </si>
  <si>
    <t>d</t>
  </si>
  <si>
    <t>hr</t>
  </si>
  <si>
    <t>min</t>
  </si>
  <si>
    <t>Hours</t>
  </si>
  <si>
    <t>Device 1 Name</t>
  </si>
  <si>
    <t>Device 2 Name</t>
  </si>
  <si>
    <t>Device 3 Name</t>
  </si>
  <si>
    <t>Device 4 Name</t>
  </si>
  <si>
    <t>Description of Position 1</t>
  </si>
  <si>
    <t>Description of Position 2</t>
  </si>
  <si>
    <t>Description of Position 3</t>
  </si>
  <si>
    <t>Description of Position 4</t>
  </si>
  <si>
    <t>Duty Rotation Popup Device Type Description</t>
  </si>
  <si>
    <t>Duty Select Info Popup Line 1 String</t>
  </si>
  <si>
    <t>Duty Select Info Popup Line 2 String</t>
  </si>
  <si>
    <t>Duty Select Info Popup Line 3 String</t>
  </si>
  <si>
    <t>Duty Select Info Popup Line 4 String</t>
  </si>
  <si>
    <t>Duty Select Info Popup Line 5 String</t>
  </si>
  <si>
    <t>Duty Select Info Popup Line 6 String</t>
  </si>
  <si>
    <t>Duty Selection Assignment Update Error</t>
  </si>
  <si>
    <t>Duty Selection Assignment Update Request</t>
  </si>
  <si>
    <t>Number of Devices for Duty Logic</t>
  </si>
  <si>
    <t>Duty Timed Rotation Days Remaining</t>
  </si>
  <si>
    <t>Duty Rotation Hour Setpoint</t>
  </si>
  <si>
    <t>Duty Rotation Number of Days Setpoint</t>
  </si>
  <si>
    <t>Duty Rotation Mode Select</t>
  </si>
  <si>
    <t>Duty Timed Rotation Hour Setpoint</t>
  </si>
  <si>
    <t>Duty Timed Rotation Minute Setpoint</t>
  </si>
  <si>
    <t>Duty 1 Assignment Current</t>
  </si>
  <si>
    <t>Duty 1 Assignment Entry</t>
  </si>
  <si>
    <t>Duty 2 Assignment Current</t>
  </si>
  <si>
    <t>Duty 2 Assignment Entry</t>
  </si>
  <si>
    <t>Duty 3 Assignment Current</t>
  </si>
  <si>
    <t>Duty 3 Assignment Entry</t>
  </si>
  <si>
    <t>Duty 4 Assignment Current</t>
  </si>
  <si>
    <t>Duty 4 Assignment Entry</t>
  </si>
  <si>
    <t>BXX SLP Duty</t>
  </si>
  <si>
    <t>Duty Level Enable Indirect Tag</t>
  </si>
  <si>
    <t>Duty Level Selected Transmitter Indirect Tag</t>
  </si>
  <si>
    <t>Duty Level Transmitter Selected Indirect Tag</t>
  </si>
  <si>
    <t>BXX Wet Well Level Duty</t>
  </si>
  <si>
    <t>BXX Disabled Alarms</t>
  </si>
  <si>
    <t>Disarmed</t>
  </si>
  <si>
    <t>Armed</t>
  </si>
  <si>
    <t>Open</t>
  </si>
  <si>
    <t>Closed</t>
  </si>
  <si>
    <t>Station BXX Security</t>
  </si>
  <si>
    <t>Colour Guide</t>
  </si>
  <si>
    <t>These Values Should not Changed unless Directed by Halton Region</t>
  </si>
  <si>
    <t>Optional Tags.  Only include if Functionality is Needed</t>
  </si>
  <si>
    <t>These values must be manually configured by the Programmer</t>
  </si>
  <si>
    <t>Value is Partially or Fully Derived from another entry in worksheet</t>
  </si>
  <si>
    <t>Instructions</t>
  </si>
  <si>
    <t>Programmers are responsible for ensuring the tags created for their application are complete and correct, irrespective of any errors or ommissions in these templates</t>
  </si>
  <si>
    <t>In order to create tags for a device, Programmers shall change any cell highlighted orange to an appropriate value</t>
  </si>
  <si>
    <t>Any cell highlighted brown should not typically require modification as it will automatically configure itself based on the values in orange cells</t>
  </si>
  <si>
    <t>If tag descriptions in Column 3 are too long, and the device description cannot be shorted, then the existing standard descriptors may be modified</t>
  </si>
  <si>
    <t>These templates rely on values linked across worksheets.  It is not recommended to copy worksheets from this workbook to another workbook</t>
  </si>
  <si>
    <t xml:space="preserve">These templates are specifically provided for the design of Wastewater Pump Station Applications </t>
  </si>
  <si>
    <t>Programmers should be aware that deviations from the standard design may require modifications to rows and cells not explicitly highlighted as requiring configuration</t>
  </si>
  <si>
    <t>Programmer may be required to remove tags not highlighted as optional due to deviations from the standard design</t>
  </si>
  <si>
    <t>BXX Pump 4</t>
  </si>
  <si>
    <t>String length is too long.   Either the Device Description must be shortened or the string concatenation edited within the cell to meet the character limit</t>
  </si>
  <si>
    <t>This Column is provided as a development aid and should be deleted before attempting an InTouch Import</t>
  </si>
  <si>
    <t>Theses templates compliment the 2 Pump and 4 Pump Baseload Programs and accomanying screens in the InTouch Baseload</t>
  </si>
  <si>
    <t>These templates may not be comprehensive of all tags required for a Wastewater Pump Station SCADA deployment</t>
  </si>
  <si>
    <t>Column D must be deleted before saving the templates as CSV files for DBLoad into InTouch</t>
  </si>
  <si>
    <t>F.AIloverExpression</t>
  </si>
  <si>
    <t>F.AIloverDeadband</t>
  </si>
  <si>
    <t>F.AIlbackDeadband</t>
  </si>
  <si>
    <t>BXX_DEV1_SI1</t>
  </si>
  <si>
    <t>BXX</t>
  </si>
  <si>
    <t>BXX_PLC1</t>
  </si>
  <si>
    <t>BXX_STN1_KS1</t>
  </si>
  <si>
    <t>BXX_DIH1_PI1</t>
  </si>
  <si>
    <t>BXX_DIH1_FI1</t>
  </si>
  <si>
    <t>BXX_WW01_LI1</t>
  </si>
  <si>
    <t>BXX_WW02_LI1</t>
  </si>
  <si>
    <t>:IO_DIsc</t>
  </si>
  <si>
    <t>ANIN_DI_SC</t>
  </si>
  <si>
    <t>BXX_BLS1_LI1</t>
  </si>
  <si>
    <t>BXX_BLS2_LI1</t>
  </si>
  <si>
    <t>BXX_OVF1_FI1</t>
  </si>
  <si>
    <t>OVF1_DI_SS</t>
  </si>
  <si>
    <t>BXX_SLP1_II1</t>
  </si>
  <si>
    <t>BXX_SLP2_II1</t>
  </si>
  <si>
    <t>BXX_SLP3_II1</t>
  </si>
  <si>
    <t>BXX_SLP4_II1</t>
  </si>
  <si>
    <t>BXX_SLP1_DM1</t>
  </si>
  <si>
    <t>:Memory_DIsc</t>
  </si>
  <si>
    <t>PMP_DI_SC</t>
  </si>
  <si>
    <t>BXX_SLP2_VF1</t>
  </si>
  <si>
    <t>BXX_SLP3_DM1</t>
  </si>
  <si>
    <t>BXX_SLP4_VF1</t>
  </si>
  <si>
    <t>BXX_GEN1_DE1</t>
  </si>
  <si>
    <t>GEN_DI_AA</t>
  </si>
  <si>
    <t>GEN_DI_CL</t>
  </si>
  <si>
    <t>GEN_DI_SS</t>
  </si>
  <si>
    <t>ATS_DI_CL</t>
  </si>
  <si>
    <t>ATS_DI_JN</t>
  </si>
  <si>
    <t>BXX_DTY1_DP</t>
  </si>
  <si>
    <t>BXX_DTY1_LI</t>
  </si>
  <si>
    <t>DTY_IN_DV1_NM</t>
  </si>
  <si>
    <t>DTY_IN_DV2_NM</t>
  </si>
  <si>
    <t>DTY_IN_D1_DP</t>
  </si>
  <si>
    <t>DTY_IN_D2_DP</t>
  </si>
  <si>
    <t>DTY_IN_D3_DP</t>
  </si>
  <si>
    <t>DTY_IN_D4_DP</t>
  </si>
  <si>
    <t>WW00_DY_PB_EN</t>
  </si>
  <si>
    <t>WW00_DY_AI_CV</t>
  </si>
  <si>
    <t>WW00_DY_AO_CT</t>
  </si>
  <si>
    <t>ANIN_PB_AE</t>
  </si>
  <si>
    <t>ANIN_PB_HH</t>
  </si>
  <si>
    <t>ANIN_PB_HI</t>
  </si>
  <si>
    <t>ANIN_PB_LO</t>
  </si>
  <si>
    <t>ANIN_PB_LL</t>
  </si>
  <si>
    <t>ANIN_PB_ER</t>
  </si>
  <si>
    <t>ANIN_PB_SC</t>
  </si>
  <si>
    <t>ANIN_PB_AD</t>
  </si>
  <si>
    <t>ANIN_PB_SV</t>
  </si>
  <si>
    <t>ANIN_PB_SM</t>
  </si>
  <si>
    <t>ANIN_PB_AR</t>
  </si>
  <si>
    <t>OVF1_PB_RS</t>
  </si>
  <si>
    <t>PMP_PB_AE</t>
  </si>
  <si>
    <t>PMP_PB_ER</t>
  </si>
  <si>
    <t>PMP_PB_SC</t>
  </si>
  <si>
    <t>PMP_PB_SF</t>
  </si>
  <si>
    <t>PMP_PB_SM</t>
  </si>
  <si>
    <t>PMP_PB_SU</t>
  </si>
  <si>
    <t>PMP_PB_SV</t>
  </si>
  <si>
    <t>PMP_PB_XF</t>
  </si>
  <si>
    <t>PMP_PB_XU</t>
  </si>
  <si>
    <t>PMP_PB_ZA</t>
  </si>
  <si>
    <t>GEN_PB_AE</t>
  </si>
  <si>
    <t>GEN_PB_AR</t>
  </si>
  <si>
    <t>GEN_PB_RM</t>
  </si>
  <si>
    <t>GEN_PB_RT</t>
  </si>
  <si>
    <t>GEN_PB_SF</t>
  </si>
  <si>
    <t>GEN_PB_SM</t>
  </si>
  <si>
    <t>GEN_PB_XF</t>
  </si>
  <si>
    <t>ANIN_DA_ER</t>
  </si>
  <si>
    <t>OVF1_DA_SS</t>
  </si>
  <si>
    <t>ANIN__DA_ER</t>
  </si>
  <si>
    <t>ATS_DA_JE</t>
  </si>
  <si>
    <t>PMP_AO_SV</t>
  </si>
  <si>
    <t>PMP_AO_ZA</t>
  </si>
  <si>
    <t>ANIN_AO_XM</t>
  </si>
  <si>
    <t>ANIN_AO_SV</t>
  </si>
  <si>
    <t>ANIN_AO_HH</t>
  </si>
  <si>
    <t>ANIN_AO_HI</t>
  </si>
  <si>
    <t>ANIN_AO_LL</t>
  </si>
  <si>
    <t>ANIN_AO_LO</t>
  </si>
  <si>
    <t>ANIN_AI_CV</t>
  </si>
  <si>
    <t>ANIN_AI_VI</t>
  </si>
  <si>
    <t>OVF1_AI_BE</t>
  </si>
  <si>
    <t>OVF1_AI_CV</t>
  </si>
  <si>
    <t>OVF1_AI_TM</t>
  </si>
  <si>
    <t>PMP_AI_CV</t>
  </si>
  <si>
    <t>PMP_AI_VI</t>
  </si>
  <si>
    <t>DTY_IN_AI_DV</t>
  </si>
  <si>
    <t>DTY_IN_AI_TY</t>
  </si>
  <si>
    <t>DTY_IN_AO__AI</t>
  </si>
  <si>
    <t>DTY_IN_AO_CT</t>
  </si>
  <si>
    <t>DTY_IN_AO_EN</t>
  </si>
  <si>
    <t>DTY_IN_AO_HS</t>
  </si>
  <si>
    <t>DTY_IN_AO_MS</t>
  </si>
  <si>
    <t>DTY_IN_D1_AI_CT</t>
  </si>
  <si>
    <t>DTY_IN_D1_AO_CT</t>
  </si>
  <si>
    <t>DTY_IN_D2_AI_CT</t>
  </si>
  <si>
    <t>DTY_IN_D2_AO_CT</t>
  </si>
  <si>
    <t>DTY_IN_D3_AI_CT</t>
  </si>
  <si>
    <t>DTY_IN_D3_AO_CT</t>
  </si>
  <si>
    <t>DTY_IN_D4_AI_CT</t>
  </si>
  <si>
    <t>DTY_IN_D4_AO_CT</t>
  </si>
  <si>
    <t>DTY_IN_DA_UE</t>
  </si>
  <si>
    <t>DTY_IN_PB_AU</t>
  </si>
  <si>
    <t>DTY_IN_INFO_LN1</t>
  </si>
  <si>
    <t>DTY_IN_INFO_LN2</t>
  </si>
  <si>
    <t>DTY_IN_INFO_LN3</t>
  </si>
  <si>
    <t>DTY_IN_INFO_LN4</t>
  </si>
  <si>
    <t>DTY_IN_INFO_LN5</t>
  </si>
  <si>
    <t>DTY_IN_INFO_LN6</t>
  </si>
  <si>
    <t>DTY_IN_DV3_NM</t>
  </si>
  <si>
    <t>DTY_IN_DV4_NM</t>
  </si>
  <si>
    <t>DTY_IN_DV_NM</t>
  </si>
  <si>
    <t>DTY_IN_D1_VIS1</t>
  </si>
  <si>
    <t>DTY_IN_D1_VIS2</t>
  </si>
  <si>
    <t>DTY_IN_D1_VIS3</t>
  </si>
  <si>
    <t>DTY_IN_D1_VIS4</t>
  </si>
  <si>
    <t>DTY_IN_D2_VIS1</t>
  </si>
  <si>
    <t>DTY_IN_D2_VIS2</t>
  </si>
  <si>
    <t>DTY_IN_D2_VIS3</t>
  </si>
  <si>
    <t>DTY_IN_D2_VIS4</t>
  </si>
  <si>
    <t>DTY_IN_D3_VIS1</t>
  </si>
  <si>
    <t>DTY_IN_D3_VIS2</t>
  </si>
  <si>
    <t>DTY_IN_D3_VIS3</t>
  </si>
  <si>
    <t>DTY_IN_D3_VIS4</t>
  </si>
  <si>
    <t>DTY_IN_D4_VIS1</t>
  </si>
  <si>
    <t>DTY_IN_D4_VIS2</t>
  </si>
  <si>
    <t>DTY_IN_D4_VIS3</t>
  </si>
  <si>
    <t>DTY_IN_D4_VIS4</t>
  </si>
  <si>
    <t>DTY_IN_VIS1</t>
  </si>
  <si>
    <t>ATS_PB_AE</t>
  </si>
  <si>
    <t>ATS_PB_JR</t>
  </si>
  <si>
    <t>ATS_PB_PP</t>
  </si>
  <si>
    <t>ATS_PB_PT</t>
  </si>
  <si>
    <t>ATS_PB_RM</t>
  </si>
  <si>
    <t>ATS_PB_RT</t>
  </si>
  <si>
    <t>ATS_PB_SM</t>
  </si>
  <si>
    <t>ATS_AI_RT</t>
  </si>
  <si>
    <t>BXX_ATS1_SG1</t>
  </si>
  <si>
    <t>GEN_AI_RT</t>
  </si>
  <si>
    <t>:InDIrectMsg</t>
  </si>
  <si>
    <t>:InDIrectDIsc</t>
  </si>
  <si>
    <t>:InDIrectAnalog</t>
  </si>
  <si>
    <t>PMP_DM_DI_AA</t>
  </si>
  <si>
    <t>PMP_DM_DI_AS</t>
  </si>
  <si>
    <t>PMP_DM_DI_CL</t>
  </si>
  <si>
    <t>PMP_DM_DI_MS</t>
  </si>
  <si>
    <t>PMP_DM_DI_PM</t>
  </si>
  <si>
    <t>PMP_DM_DI_SK</t>
  </si>
  <si>
    <t>PMP_DM_DI_SS</t>
  </si>
  <si>
    <t>PMP_DM_PB_AR</t>
  </si>
  <si>
    <t>PMP_DM_PB_MS</t>
  </si>
  <si>
    <t>PMP_DM_PB_PM</t>
  </si>
  <si>
    <t>PMP_DM_PB_PP</t>
  </si>
  <si>
    <t>PMP_DM_PB_PT</t>
  </si>
  <si>
    <t>PMP_DM_PB_RT</t>
  </si>
  <si>
    <t>PMP_DM_AI_RT</t>
  </si>
  <si>
    <t>PMP_SK_DA_ER</t>
  </si>
  <si>
    <t>PMP_SK_DI_SC</t>
  </si>
  <si>
    <t>PMP_SK_PB_ER</t>
  </si>
  <si>
    <t>PMP_SK_PB_SC</t>
  </si>
  <si>
    <t>PMP_SK_PB_SV</t>
  </si>
  <si>
    <t>PMP_SK_PB_ZA</t>
  </si>
  <si>
    <t>PMP_SK_DC2</t>
  </si>
  <si>
    <t>PMP_SK_DC3</t>
  </si>
  <si>
    <t>PMP_SK_DEC</t>
  </si>
  <si>
    <t>PMP_SK_AI_CV</t>
  </si>
  <si>
    <t>PMP_SK_AI_VI</t>
  </si>
  <si>
    <t>PMP_SK_AO_CT</t>
  </si>
  <si>
    <t>PMP_SK_AO_SV</t>
  </si>
  <si>
    <t>PMP_SK_AO_ZA</t>
  </si>
  <si>
    <t>PMP_DM_GRP</t>
  </si>
  <si>
    <t>PMP_SN_ZA</t>
  </si>
  <si>
    <t>PMP_NAME</t>
  </si>
  <si>
    <t>PMP_SI_NAME</t>
  </si>
  <si>
    <t>PMP_SK_NAME</t>
  </si>
  <si>
    <t>ANIN_SN_HH</t>
  </si>
  <si>
    <t>ANIN_SN_LO</t>
  </si>
  <si>
    <t>ANIN_SN_HI</t>
  </si>
  <si>
    <t>ANIN_SN_LL</t>
  </si>
  <si>
    <t>ANIN_E1_EM</t>
  </si>
  <si>
    <t>ANIN_E1_XM</t>
  </si>
  <si>
    <t>ANIN_E2_CV</t>
  </si>
  <si>
    <t>ANIN_E3_CV</t>
  </si>
  <si>
    <t>:IODIsc</t>
  </si>
  <si>
    <t>ANIN_NAME</t>
  </si>
  <si>
    <t>OVF1_SP_AI_DY</t>
  </si>
  <si>
    <t>OVF1_SP_AI_HS</t>
  </si>
  <si>
    <t>OVF1_SP_AI_MM</t>
  </si>
  <si>
    <t>OVF1_SP_AI_MS</t>
  </si>
  <si>
    <t>OVF1_SP_AI_SN</t>
  </si>
  <si>
    <t>OVF1_SP_AI_YY</t>
  </si>
  <si>
    <t>OVF1_ST_AI_DY</t>
  </si>
  <si>
    <t>OVF1_ST_AI_HS</t>
  </si>
  <si>
    <t>OVF1_ST_AI_MM</t>
  </si>
  <si>
    <t>OVF1_ST_AI_MS</t>
  </si>
  <si>
    <t>OVF1_ST_AI_SN</t>
  </si>
  <si>
    <t>OVF1_ST_AI_YY</t>
  </si>
  <si>
    <t>PMP_E1_EM</t>
  </si>
  <si>
    <t>PMP_E1_XM</t>
  </si>
  <si>
    <t>PMP_E2_CV</t>
  </si>
  <si>
    <t>PMP_E3_CV</t>
  </si>
  <si>
    <t>PMP_SI_AO_CT</t>
  </si>
  <si>
    <t>PMP_SK_SN_ZA</t>
  </si>
  <si>
    <t>PMP_SK_E1_EM</t>
  </si>
  <si>
    <t>PMP_SK_E1_XM</t>
  </si>
  <si>
    <t>PMP_SK_E2_CV</t>
  </si>
  <si>
    <t>PMP_SK_E3_CV</t>
  </si>
  <si>
    <t>GEN_GRP</t>
  </si>
  <si>
    <t>GEN_NAME</t>
  </si>
  <si>
    <t>BXX_DFT1_LI1</t>
  </si>
  <si>
    <t>BXXCPU01_1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</si>
</sst>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4" applyNumberFormat="0" applyAlignment="0" applyProtection="0"/>
    <xf numFmtId="0" fontId="11" fillId="9" borderId="5" applyNumberFormat="0" applyAlignment="0" applyProtection="0"/>
    <xf numFmtId="0" fontId="12" fillId="9" borderId="4" applyNumberFormat="0" applyAlignment="0" applyProtection="0"/>
    <xf numFmtId="0" fontId="13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2" fillId="11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7" fillId="35" borderId="0" applyNumberFormat="0" applyBorder="0" applyAlignment="0" applyProtection="0"/>
  </cellStyleXfs>
  <cellXfs count="1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36" borderId="0" xfId="0" applyFill="1"/>
    <xf numFmtId="0" fontId="18" fillId="0" borderId="0" xfId="0" applyFont="1" applyFill="1"/>
    <xf numFmtId="0" fontId="18" fillId="4" borderId="0" xfId="0" applyFont="1" applyFill="1"/>
    <xf numFmtId="0" fontId="19" fillId="37" borderId="0" xfId="0" applyFont="1" applyFill="1"/>
    <xf numFmtId="0" fontId="1" fillId="0" borderId="0" xfId="0" applyFont="1"/>
    <xf numFmtId="0" fontId="1" fillId="38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11.5703125" bestFit="1" customWidth="1"/>
    <col min="2" max="2" width="153.5703125" bestFit="1" customWidth="1"/>
  </cols>
  <sheetData>
    <row r="1" spans="1:2" x14ac:dyDescent="0.25">
      <c r="A1" t="s">
        <v>394</v>
      </c>
    </row>
    <row r="2" spans="1:2" x14ac:dyDescent="0.25">
      <c r="B2" t="s">
        <v>395</v>
      </c>
    </row>
    <row r="3" spans="1:2" x14ac:dyDescent="0.25">
      <c r="A3" s="6"/>
      <c r="B3" t="s">
        <v>396</v>
      </c>
    </row>
    <row r="4" spans="1:2" x14ac:dyDescent="0.25">
      <c r="A4" s="3"/>
      <c r="B4" t="s">
        <v>397</v>
      </c>
    </row>
    <row r="5" spans="1:2" x14ac:dyDescent="0.25">
      <c r="A5" s="2"/>
      <c r="B5" t="s">
        <v>410</v>
      </c>
    </row>
    <row r="6" spans="1:2" x14ac:dyDescent="0.25">
      <c r="A6" s="9">
        <v>51</v>
      </c>
      <c r="B6" t="s">
        <v>409</v>
      </c>
    </row>
    <row r="7" spans="1:2" x14ac:dyDescent="0.25">
      <c r="A7" s="4"/>
      <c r="B7" t="s">
        <v>398</v>
      </c>
    </row>
    <row r="10" spans="1:2" x14ac:dyDescent="0.25">
      <c r="A10" s="10" t="s">
        <v>399</v>
      </c>
    </row>
    <row r="11" spans="1:2" x14ac:dyDescent="0.25">
      <c r="A11">
        <v>1</v>
      </c>
      <c r="B11" t="s">
        <v>405</v>
      </c>
    </row>
    <row r="12" spans="1:2" x14ac:dyDescent="0.25">
      <c r="A12">
        <v>2</v>
      </c>
      <c r="B12" t="s">
        <v>411</v>
      </c>
    </row>
    <row r="13" spans="1:2" x14ac:dyDescent="0.25">
      <c r="A13">
        <v>3</v>
      </c>
      <c r="B13" t="s">
        <v>412</v>
      </c>
    </row>
    <row r="14" spans="1:2" x14ac:dyDescent="0.25">
      <c r="A14">
        <v>4</v>
      </c>
      <c r="B14" t="s">
        <v>400</v>
      </c>
    </row>
    <row r="15" spans="1:2" x14ac:dyDescent="0.25">
      <c r="A15">
        <v>5</v>
      </c>
      <c r="B15" t="s">
        <v>406</v>
      </c>
    </row>
    <row r="16" spans="1:2" x14ac:dyDescent="0.25">
      <c r="A16">
        <v>6</v>
      </c>
      <c r="B16" s="11" t="s">
        <v>404</v>
      </c>
    </row>
    <row r="17" spans="1:2" x14ac:dyDescent="0.25">
      <c r="A17">
        <v>7</v>
      </c>
      <c r="B17" t="s">
        <v>401</v>
      </c>
    </row>
    <row r="18" spans="1:2" x14ac:dyDescent="0.25">
      <c r="A18">
        <v>8</v>
      </c>
      <c r="B18" t="s">
        <v>407</v>
      </c>
    </row>
    <row r="19" spans="1:2" x14ac:dyDescent="0.25">
      <c r="A19">
        <v>9</v>
      </c>
      <c r="B19" t="s">
        <v>402</v>
      </c>
    </row>
    <row r="20" spans="1:2" x14ac:dyDescent="0.25">
      <c r="A20">
        <v>10</v>
      </c>
      <c r="B20" t="s">
        <v>403</v>
      </c>
    </row>
    <row r="21" spans="1:2" x14ac:dyDescent="0.25">
      <c r="A21">
        <v>11</v>
      </c>
      <c r="B21" t="s">
        <v>413</v>
      </c>
    </row>
  </sheetData>
  <pageMargins left="0.7" right="0.7" top="0.91666666666666663" bottom="0.75" header="0.29166666666666669" footer="0.3"/>
  <pageSetup scale="54" fitToHeight="0"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view="pageBreakPreview" topLeftCell="E31" zoomScaleNormal="100" zoomScaleSheetLayoutView="100" workbookViewId="0">
      <selection activeCell="K52" sqref="K52"/>
    </sheetView>
  </sheetViews>
  <sheetFormatPr defaultRowHeight="15" x14ac:dyDescent="0.25"/>
  <cols>
    <col min="1" max="1" width="27.85546875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424</v>
      </c>
      <c r="B3" s="3" t="str">
        <f>BXXPLC1!A5</f>
        <v>BXX</v>
      </c>
      <c r="C3" s="3" t="s">
        <v>263</v>
      </c>
      <c r="D3" s="2">
        <f>LEN(C3)</f>
        <v>20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BXX_WW02_LI1_DI_AD</v>
      </c>
      <c r="B6" s="4" t="str">
        <f>$A$4</f>
        <v>BXX_DSAB</v>
      </c>
      <c r="C6" s="4" t="str">
        <f>$C$3 &amp; " Disabled Analog Alarm"</f>
        <v>BXX Wet Well 2 Level Disabled Analog Alarm</v>
      </c>
      <c r="D6" s="2">
        <f>LEN(C6)</f>
        <v>42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BXX_WW02_LI1.DI_AD</v>
      </c>
      <c r="R6" t="s">
        <v>14</v>
      </c>
      <c r="S6" s="4" t="str">
        <f>C6</f>
        <v>BXX Wet Well 2 Level Disabled Analog Alarm</v>
      </c>
      <c r="T6">
        <v>0</v>
      </c>
      <c r="U6">
        <v>0</v>
      </c>
    </row>
    <row r="7" spans="1:23" x14ac:dyDescent="0.25">
      <c r="A7" s="4" t="str">
        <f>$A$3&amp;"_DI_SC"</f>
        <v>BXX_WW02_LI1_DI_SC</v>
      </c>
      <c r="B7" s="4" t="str">
        <f>$A$3</f>
        <v>BXX_WW02_LI1</v>
      </c>
      <c r="C7" s="4" t="str">
        <f>$C$3 &amp; " Scan Status"</f>
        <v>BXX Wet Well 2 Level Scan Status</v>
      </c>
      <c r="D7" s="2">
        <f t="shared" ref="D7:D28" si="0">LEN(C7)</f>
        <v>32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BXX_WW02_LI1.DI_SC</v>
      </c>
      <c r="R7" t="s">
        <v>14</v>
      </c>
      <c r="S7" s="4" t="str">
        <f t="shared" ref="S7:S28" si="1">C7</f>
        <v>BXX Wet Well 2 Level Scan Status</v>
      </c>
      <c r="T7">
        <v>0</v>
      </c>
      <c r="U7">
        <v>0</v>
      </c>
    </row>
    <row r="8" spans="1:23" x14ac:dyDescent="0.25">
      <c r="A8" s="4" t="str">
        <f>$A$3&amp;"_DA_LL"</f>
        <v>BXX_WW02_LI1_DA_LL</v>
      </c>
      <c r="B8" s="4" t="str">
        <f t="shared" ref="B8:B28" si="2">$A$3</f>
        <v>BXX_WW02_LI1</v>
      </c>
      <c r="C8" s="4" t="str">
        <f>$C$3 &amp; " LOLO Alarm"</f>
        <v>BXX Wet Well 2 Level LOLO Alarm</v>
      </c>
      <c r="D8" s="2">
        <f t="shared" si="0"/>
        <v>31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BXX_WW02_LI1.DA_LL</v>
      </c>
      <c r="R8" t="s">
        <v>14</v>
      </c>
      <c r="S8" s="4" t="str">
        <f t="shared" si="1"/>
        <v>BXX Wet Well 2 Level LOLO Alarm</v>
      </c>
      <c r="T8">
        <v>0</v>
      </c>
      <c r="U8">
        <v>0</v>
      </c>
    </row>
    <row r="9" spans="1:23" x14ac:dyDescent="0.25">
      <c r="A9" s="4" t="str">
        <f>$A$3&amp;"_DA_ER"</f>
        <v>BXX_WW02_LI1_DA_ER</v>
      </c>
      <c r="B9" s="4" t="str">
        <f t="shared" si="2"/>
        <v>BXX_WW02_LI1</v>
      </c>
      <c r="C9" s="4" t="str">
        <f>$C$3 &amp; " Signal Error Alarm"</f>
        <v>BXX Wet Well 2 Level Signal Error Alarm</v>
      </c>
      <c r="D9" s="2">
        <f t="shared" si="0"/>
        <v>39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BXX_WW02_LI1.DA_ER</v>
      </c>
      <c r="R9" t="s">
        <v>14</v>
      </c>
      <c r="S9" s="4" t="str">
        <f t="shared" si="1"/>
        <v>BXX Wet Well 2 Level Signal Error Alarm</v>
      </c>
      <c r="T9">
        <v>0</v>
      </c>
      <c r="U9">
        <v>0</v>
      </c>
    </row>
    <row r="10" spans="1:23" x14ac:dyDescent="0.25">
      <c r="A10" s="4" t="str">
        <f>$A$3&amp;"_PB_SM"</f>
        <v>BXX_WW02_LI1_PB_SM</v>
      </c>
      <c r="B10" s="4" t="str">
        <f t="shared" si="2"/>
        <v>BXX_WW02_LI1</v>
      </c>
      <c r="C10" s="4" t="str">
        <f>$C$3 &amp; " Alarm Test"</f>
        <v>BXX Wet Well 2 Level Alarm Test</v>
      </c>
      <c r="D10" s="2">
        <f t="shared" si="0"/>
        <v>31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BXX_WW02_LI1.PB_SM</v>
      </c>
      <c r="R10" t="s">
        <v>14</v>
      </c>
      <c r="S10" s="4" t="str">
        <f t="shared" si="1"/>
        <v>BXX Wet Well 2 Level Alarm Test</v>
      </c>
      <c r="T10">
        <v>0</v>
      </c>
      <c r="U10">
        <v>0</v>
      </c>
    </row>
    <row r="11" spans="1:23" x14ac:dyDescent="0.25">
      <c r="A11" s="4" t="str">
        <f>$A$3&amp;"_PB_SV"</f>
        <v>BXX_WW02_LI1_PB_SV</v>
      </c>
      <c r="B11" s="4" t="str">
        <f t="shared" si="2"/>
        <v>BXX_WW02_LI1</v>
      </c>
      <c r="C11" s="4" t="str">
        <f>$C$3 &amp; " Override Enable"</f>
        <v>BXX Wet Well 2 Level Override Enable</v>
      </c>
      <c r="D11" s="2">
        <f t="shared" si="0"/>
        <v>36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BXX_WW02_LI1.PB_SV</v>
      </c>
      <c r="R11" t="s">
        <v>14</v>
      </c>
      <c r="S11" s="4" t="str">
        <f t="shared" si="1"/>
        <v>BXX Wet Well 2 Level Override Enable</v>
      </c>
      <c r="T11">
        <v>0</v>
      </c>
      <c r="U11">
        <v>0</v>
      </c>
    </row>
    <row r="12" spans="1:23" x14ac:dyDescent="0.25">
      <c r="A12" s="4" t="str">
        <f>$A$3&amp;"_PB_AE"</f>
        <v>BXX_WW02_LI1_PB_AE</v>
      </c>
      <c r="B12" s="4" t="str">
        <f t="shared" si="2"/>
        <v>BXX_WW02_LI1</v>
      </c>
      <c r="C12" s="4" t="str">
        <f>$C$3 &amp; " Alarm Enable"</f>
        <v>BXX Wet Well 2 Level Alarm Enable</v>
      </c>
      <c r="D12" s="2">
        <f t="shared" si="0"/>
        <v>33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BXX_WW02_LI1.PB_AE.RE</v>
      </c>
      <c r="R12" t="s">
        <v>14</v>
      </c>
      <c r="S12" s="4" t="str">
        <f t="shared" si="1"/>
        <v>BXX Wet Well 2 Level Alarm Enable</v>
      </c>
      <c r="T12">
        <v>0</v>
      </c>
      <c r="U12">
        <v>0</v>
      </c>
    </row>
    <row r="13" spans="1:23" x14ac:dyDescent="0.25">
      <c r="A13" s="4" t="str">
        <f>$A$3&amp;"_PB_HI"</f>
        <v>BXX_WW02_LI1_PB_HI</v>
      </c>
      <c r="B13" s="4" t="str">
        <f t="shared" si="2"/>
        <v>BXX_WW02_LI1</v>
      </c>
      <c r="C13" s="4" t="str">
        <f>$C$3 &amp; " High Alarm Enable"</f>
        <v>BXX Wet Well 2 Level High Alarm Enable</v>
      </c>
      <c r="D13" s="2">
        <f t="shared" si="0"/>
        <v>38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BXX_WW02_LI1.PB_HI.RE</v>
      </c>
      <c r="R13" t="s">
        <v>14</v>
      </c>
      <c r="S13" s="4" t="str">
        <f t="shared" si="1"/>
        <v>BXX Wet Well 2 Level High Alarm Enable</v>
      </c>
      <c r="T13">
        <v>0</v>
      </c>
      <c r="U13">
        <v>0</v>
      </c>
    </row>
    <row r="14" spans="1:23" x14ac:dyDescent="0.25">
      <c r="A14" s="4" t="str">
        <f>$A$3&amp;"_PB_LO"</f>
        <v>BXX_WW02_LI1_PB_LO</v>
      </c>
      <c r="B14" s="4" t="str">
        <f t="shared" si="2"/>
        <v>BXX_WW02_LI1</v>
      </c>
      <c r="C14" s="4" t="str">
        <f>$C$3 &amp; " Low Alarm Enable"</f>
        <v>BXX Wet Well 2 Level Low Alarm Enable</v>
      </c>
      <c r="D14" s="2">
        <f t="shared" si="0"/>
        <v>37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BXX_WW02_LI1.PB_LO.RE</v>
      </c>
      <c r="R14" t="s">
        <v>14</v>
      </c>
      <c r="S14" s="4" t="str">
        <f t="shared" si="1"/>
        <v>BXX Wet Well 2 Level Low Alarm Enable</v>
      </c>
      <c r="T14">
        <v>0</v>
      </c>
      <c r="U14">
        <v>0</v>
      </c>
    </row>
    <row r="15" spans="1:23" x14ac:dyDescent="0.25">
      <c r="A15" s="4" t="str">
        <f>$A$3&amp;"_PB_LL"</f>
        <v>BXX_WW02_LI1_PB_LL</v>
      </c>
      <c r="B15" s="4" t="str">
        <f t="shared" si="2"/>
        <v>BXX_WW02_LI1</v>
      </c>
      <c r="C15" s="4" t="str">
        <f>$C$3 &amp; " LOLO Alarm Enable"</f>
        <v>BXX Wet Well 2 Level LOLO Alarm Enable</v>
      </c>
      <c r="D15" s="2">
        <f t="shared" si="0"/>
        <v>38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BXX_WW02_LI1.PB_LL.RE</v>
      </c>
      <c r="R15" t="s">
        <v>14</v>
      </c>
      <c r="S15" s="4" t="str">
        <f t="shared" si="1"/>
        <v>BXX Wet Well 2 Level LOLO Alarm Enable</v>
      </c>
      <c r="T15">
        <v>0</v>
      </c>
      <c r="U15">
        <v>0</v>
      </c>
    </row>
    <row r="16" spans="1:23" x14ac:dyDescent="0.25">
      <c r="A16" s="4" t="str">
        <f>$A$3&amp;"_PB_ER"</f>
        <v>BXX_WW02_LI1_PB_ER</v>
      </c>
      <c r="B16" s="4" t="str">
        <f t="shared" si="2"/>
        <v>BXX_WW02_LI1</v>
      </c>
      <c r="C16" s="4" t="str">
        <f>$C$3 &amp; " Signal Error Alarm En"</f>
        <v>BXX Wet Well 2 Level Signal Error Alarm En</v>
      </c>
      <c r="D16" s="2">
        <f t="shared" si="0"/>
        <v>42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BXX_WW02_LI1.PB_ER.RE</v>
      </c>
      <c r="R16" t="s">
        <v>14</v>
      </c>
      <c r="S16" s="4" t="str">
        <f t="shared" si="1"/>
        <v>BXX Wet Well 2 Level Signal Error Alarm En</v>
      </c>
      <c r="T16">
        <v>0</v>
      </c>
      <c r="U16">
        <v>0</v>
      </c>
    </row>
    <row r="17" spans="1:64" x14ac:dyDescent="0.25">
      <c r="A17" s="4" t="str">
        <f>$A$3&amp;"_PB_SC"</f>
        <v>BXX_WW02_LI1_PB_SC</v>
      </c>
      <c r="B17" s="4" t="str">
        <f t="shared" si="2"/>
        <v>BXX_WW02_LI1</v>
      </c>
      <c r="C17" s="4" t="str">
        <f>$C$3 &amp; " Scan Enable"</f>
        <v>BXX Wet Well 2 Level Scan Enable</v>
      </c>
      <c r="D17" s="2">
        <f t="shared" si="0"/>
        <v>32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BXX_WW02_LI1.PB_SC</v>
      </c>
      <c r="R17" t="s">
        <v>14</v>
      </c>
      <c r="S17" s="4" t="str">
        <f t="shared" si="1"/>
        <v>BXX Wet Well 2 Level Scan Enable</v>
      </c>
      <c r="T17">
        <v>0</v>
      </c>
      <c r="U17">
        <v>0</v>
      </c>
    </row>
    <row r="18" spans="1:64" x14ac:dyDescent="0.25">
      <c r="A18" s="4" t="str">
        <f>$A$3&amp;"_DA_HH"</f>
        <v>BXX_WW02_LI1_DA_HH</v>
      </c>
      <c r="B18" s="4" t="str">
        <f t="shared" si="2"/>
        <v>BXX_WW02_LI1</v>
      </c>
      <c r="C18" s="4" t="str">
        <f>$C$3 &amp; " HIHI Alarm"</f>
        <v>BXX Wet Well 2 Level HIHI Alarm</v>
      </c>
      <c r="D18" s="2">
        <f t="shared" si="0"/>
        <v>31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BXX_WW02_LI1.DA_HH</v>
      </c>
      <c r="R18" t="s">
        <v>14</v>
      </c>
      <c r="S18" s="4" t="str">
        <f t="shared" si="1"/>
        <v>BXX Wet Well 2 Level HIHI Alarm</v>
      </c>
      <c r="T18">
        <v>0</v>
      </c>
      <c r="U18">
        <v>0</v>
      </c>
    </row>
    <row r="19" spans="1:64" x14ac:dyDescent="0.25">
      <c r="A19" s="4" t="str">
        <f>$A$3&amp;"_DA_HI"</f>
        <v>BXX_WW02_LI1_DA_HI</v>
      </c>
      <c r="B19" s="4" t="str">
        <f t="shared" si="2"/>
        <v>BXX_WW02_LI1</v>
      </c>
      <c r="C19" s="4" t="str">
        <f>$C$3 &amp; " HI Alarm"</f>
        <v>BXX Wet Well 2 Level HI Alarm</v>
      </c>
      <c r="D19" s="2">
        <f t="shared" si="0"/>
        <v>29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BXX_WW02_LI1.DA_HI</v>
      </c>
      <c r="R19" t="s">
        <v>14</v>
      </c>
      <c r="S19" s="4" t="str">
        <f t="shared" si="1"/>
        <v>BXX Wet Well 2 Level HI Alarm</v>
      </c>
      <c r="T19">
        <v>0</v>
      </c>
      <c r="U19">
        <v>0</v>
      </c>
    </row>
    <row r="20" spans="1:64" x14ac:dyDescent="0.25">
      <c r="A20" s="4" t="str">
        <f>$A$3&amp;"_PB_HH"</f>
        <v>BXX_WW02_LI1_PB_HH</v>
      </c>
      <c r="B20" s="4" t="str">
        <f t="shared" si="2"/>
        <v>BXX_WW02_LI1</v>
      </c>
      <c r="C20" s="4" t="str">
        <f>$C$3 &amp; " HIHI Alarm Enable"</f>
        <v>BXX Wet Well 2 Level HIHI Alarm Enable</v>
      </c>
      <c r="D20" s="2">
        <f t="shared" si="0"/>
        <v>38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BXX_WW02_LI1.PB_HH.RE</v>
      </c>
      <c r="R20" t="s">
        <v>14</v>
      </c>
      <c r="S20" s="4" t="str">
        <f t="shared" si="1"/>
        <v>BXX Wet Well 2 Level HIHI Alarm Enable</v>
      </c>
      <c r="T20">
        <v>0</v>
      </c>
      <c r="U20">
        <v>0</v>
      </c>
    </row>
    <row r="21" spans="1:64" x14ac:dyDescent="0.25">
      <c r="A21" s="4" t="str">
        <f>$A$3&amp;"_PB_AR"</f>
        <v>BXX_WW02_LI1_PB_AR</v>
      </c>
      <c r="B21" s="4" t="str">
        <f t="shared" si="2"/>
        <v>BXX_WW02_LI1</v>
      </c>
      <c r="C21" s="4" t="str">
        <f>$C$3 &amp; " Alarm Reset"</f>
        <v>BXX Wet Well 2 Level Alarm Reset</v>
      </c>
      <c r="D21" s="2">
        <f t="shared" si="0"/>
        <v>32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BXX_WW02_LI1.PB_AR</v>
      </c>
      <c r="R21" t="s">
        <v>14</v>
      </c>
      <c r="S21" s="4" t="str">
        <f t="shared" si="1"/>
        <v>BXX Wet Well 2 Level Alarm Reset</v>
      </c>
      <c r="T21">
        <v>0</v>
      </c>
      <c r="U21">
        <v>0</v>
      </c>
    </row>
    <row r="22" spans="1:64" x14ac:dyDescent="0.25">
      <c r="A22" s="4" t="str">
        <f>$A$3&amp;"_DA_LO"</f>
        <v>BXX_WW02_LI1_DA_LO</v>
      </c>
      <c r="B22" s="4" t="str">
        <f t="shared" si="2"/>
        <v>BXX_WW02_LI1</v>
      </c>
      <c r="C22" s="4" t="str">
        <f>$C$3 &amp; " LO Alarm"</f>
        <v>BXX Wet Well 2 Level LO Alarm</v>
      </c>
      <c r="D22" s="2">
        <f t="shared" si="0"/>
        <v>29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BXX_WW02_LI1.DA_LO</v>
      </c>
      <c r="R22" t="s">
        <v>14</v>
      </c>
      <c r="S22" s="4" t="str">
        <f t="shared" si="1"/>
        <v>BXX Wet Well 2 Level LO Alarm</v>
      </c>
      <c r="T22">
        <v>0</v>
      </c>
      <c r="U22">
        <v>0</v>
      </c>
    </row>
    <row r="23" spans="1:64" x14ac:dyDescent="0.25">
      <c r="A23" s="4" t="str">
        <f>$A$3&amp;"_PB_LL_DE"</f>
        <v>BXX_WW02_LI1_PB_LL_DE</v>
      </c>
      <c r="B23" s="4" t="str">
        <f t="shared" si="2"/>
        <v>BXX_WW02_LI1</v>
      </c>
      <c r="C23" s="4" t="str">
        <f>$C$3 &amp; " LOLO Alarm Dialer Enable"</f>
        <v>BXX Wet Well 2 Level LOLO Alarm Dialer Enable</v>
      </c>
      <c r="D23" s="2">
        <f t="shared" si="0"/>
        <v>45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BXX_WW02_LI1.PB_LL.DE</v>
      </c>
      <c r="R23" t="s">
        <v>14</v>
      </c>
      <c r="S23" s="4" t="str">
        <f t="shared" si="1"/>
        <v>BXX Wet Well 2 Level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BXX_WW02_LI1_PB_ER_DE</v>
      </c>
      <c r="B24" s="4" t="str">
        <f t="shared" si="2"/>
        <v>BXX_WW02_LI1</v>
      </c>
      <c r="C24" s="4" t="str">
        <f>$C$3 &amp; " Signal Error Alarm Dialer En"</f>
        <v>BXX Wet Well 2 Level Signal Error Alarm Dialer En</v>
      </c>
      <c r="D24" s="2">
        <f t="shared" si="0"/>
        <v>49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BXX_WW02_LI1.PB_ER.DE</v>
      </c>
      <c r="R24" t="s">
        <v>14</v>
      </c>
      <c r="S24" s="4" t="str">
        <f t="shared" si="1"/>
        <v>BXX Wet Well 2 Level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BXX_WW02_LI1_PB_HH_DE</v>
      </c>
      <c r="B25" s="4" t="str">
        <f t="shared" si="2"/>
        <v>BXX_WW02_LI1</v>
      </c>
      <c r="C25" s="4" t="str">
        <f>$C$3 &amp; " HIHI Alarm Dialer Enable"</f>
        <v>BXX Wet Well 2 Level HIHI Alarm Dialer Enable</v>
      </c>
      <c r="D25" s="2">
        <f t="shared" si="0"/>
        <v>45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BXX_WW02_LI1.PB_HH.DE</v>
      </c>
      <c r="R25" t="s">
        <v>14</v>
      </c>
      <c r="S25" s="4" t="str">
        <f t="shared" si="1"/>
        <v>BXX Wet Well 2 Level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BXX_WW02_LI1_PB_LL_SR</v>
      </c>
      <c r="B26" s="4" t="str">
        <f t="shared" si="2"/>
        <v>BXX_WW02_LI1</v>
      </c>
      <c r="C26" s="4" t="str">
        <f>$C$3 &amp; " LOLO Alarm Sup Enable"</f>
        <v>BXX Wet Well 2 Level LOLO Alarm Sup Enable</v>
      </c>
      <c r="D26" s="2">
        <f t="shared" si="0"/>
        <v>42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BXX_WW02_LI1.PB_LL.SR</v>
      </c>
      <c r="R26" t="s">
        <v>14</v>
      </c>
      <c r="S26" s="4" t="str">
        <f t="shared" si="1"/>
        <v>BXX Wet Well 2 Level LOLO Alarm Sup Enable</v>
      </c>
      <c r="T26">
        <v>0</v>
      </c>
      <c r="U26">
        <v>0</v>
      </c>
    </row>
    <row r="27" spans="1:64" x14ac:dyDescent="0.25">
      <c r="A27" s="4" t="str">
        <f>$A$3&amp;"_PB_ER_SR"</f>
        <v>BXX_WW02_LI1_PB_ER_SR</v>
      </c>
      <c r="B27" s="4" t="str">
        <f t="shared" si="2"/>
        <v>BXX_WW02_LI1</v>
      </c>
      <c r="C27" s="4" t="str">
        <f>$C$3 &amp; " Signal Error Alarm Sup En"</f>
        <v>BXX Wet Well 2 Level Signal Error Alarm Sup En</v>
      </c>
      <c r="D27" s="2">
        <f t="shared" si="0"/>
        <v>46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BXX_WW02_LI1.PB_ER.SR</v>
      </c>
      <c r="R27" t="s">
        <v>14</v>
      </c>
      <c r="S27" s="4" t="str">
        <f t="shared" si="1"/>
        <v>BXX Wet Well 2 Level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BXX_WW02_LI1_PB_HH_SR</v>
      </c>
      <c r="B28" s="4" t="str">
        <f t="shared" si="2"/>
        <v>BXX_WW02_LI1</v>
      </c>
      <c r="C28" s="4" t="str">
        <f>$C$3 &amp; " HIHI Alarm Sup Enable"</f>
        <v>BXX Wet Well 2 Level HIHI Alarm Sup Enable</v>
      </c>
      <c r="D28" s="2">
        <f t="shared" si="0"/>
        <v>42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BXX_WW02_LI1.PB_HH.SR</v>
      </c>
      <c r="R28" t="s">
        <v>14</v>
      </c>
      <c r="S28" s="4" t="str">
        <f t="shared" si="1"/>
        <v>BXX Wet Well 2 Level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BXX_WW02_LI1_AI_VI</v>
      </c>
      <c r="B30" s="4" t="str">
        <f t="shared" ref="B30:B32" si="4">$A$3</f>
        <v>BXX_WW02_LI1</v>
      </c>
      <c r="C30" s="4" t="str">
        <f>$C$3 &amp; " Number of Visible Eng Values"</f>
        <v>BXX Wet Well 2 Level Number of Visible Eng Values</v>
      </c>
      <c r="D30" s="2">
        <f t="shared" ref="D30:D32" si="5">LEN(C30)</f>
        <v>49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BXX_WW02_LI1.AI_VI</v>
      </c>
      <c r="AU30" t="s">
        <v>14</v>
      </c>
      <c r="AV30" s="4" t="str">
        <f>C30</f>
        <v>BXX Wet Well 2 Level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BXX_WW02_LI1_AI_DC</v>
      </c>
      <c r="B31" s="4" t="str">
        <f t="shared" si="4"/>
        <v>BXX_WW02_LI1</v>
      </c>
      <c r="C31" s="4" t="str">
        <f>$C$3 &amp; " Precision"</f>
        <v>BXX Wet Well 2 Level Precision</v>
      </c>
      <c r="D31" s="2">
        <f t="shared" si="5"/>
        <v>30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:M32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2" si="7">N31</f>
        <v>0</v>
      </c>
      <c r="AP31" s="4">
        <f t="shared" si="7"/>
        <v>3</v>
      </c>
      <c r="AQ31" t="s">
        <v>108</v>
      </c>
      <c r="AR31" s="4" t="str">
        <f t="shared" ref="AR31:AR32" si="8">$O$6</f>
        <v>BXX</v>
      </c>
      <c r="AS31" t="s">
        <v>14</v>
      </c>
      <c r="AT31" s="4" t="str">
        <f>$A$3&amp;".AI_DC"</f>
        <v>BXX_WW02_LI1.AI_DC</v>
      </c>
      <c r="AU31" t="s">
        <v>14</v>
      </c>
      <c r="AV31" s="4" t="str">
        <f t="shared" ref="AV31:AV32" si="9">C31</f>
        <v>BXX Wet Well 2 Level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8" t="str">
        <f>$A$3&amp;"_E2_DC"</f>
        <v>BXX_WW02_LI1_E2_DC</v>
      </c>
      <c r="B32" s="4" t="str">
        <f t="shared" si="4"/>
        <v>BXX_WW02_LI1</v>
      </c>
      <c r="C32" s="4" t="str">
        <f>$C$3 &amp; " Eng Value 2 Precision"</f>
        <v>BXX Wet Well 2 Level Eng Value 2 Precision</v>
      </c>
      <c r="D32" s="2">
        <f t="shared" si="5"/>
        <v>42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M32" s="4">
        <f t="shared" si="6"/>
        <v>0</v>
      </c>
      <c r="N32">
        <v>0</v>
      </c>
      <c r="O32">
        <v>3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 s="4">
        <f t="shared" si="7"/>
        <v>0</v>
      </c>
      <c r="AP32" s="4">
        <f t="shared" si="7"/>
        <v>3</v>
      </c>
      <c r="AQ32" t="s">
        <v>108</v>
      </c>
      <c r="AR32" s="4" t="str">
        <f t="shared" si="8"/>
        <v>BXX</v>
      </c>
      <c r="AS32" t="s">
        <v>14</v>
      </c>
      <c r="AT32" s="4" t="str">
        <f>$A$3&amp;".E2_DC"</f>
        <v>BXX_WW02_LI1.E2_DC</v>
      </c>
      <c r="AU32" t="s">
        <v>14</v>
      </c>
      <c r="AV32" s="4" t="str">
        <f t="shared" si="9"/>
        <v>BXX Wet Well 2 Level Eng Value 2 Precision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t="s">
        <v>70</v>
      </c>
      <c r="B33" t="s">
        <v>16</v>
      </c>
      <c r="C33" t="s">
        <v>17</v>
      </c>
      <c r="E33" t="s">
        <v>39</v>
      </c>
      <c r="F33" t="s">
        <v>18</v>
      </c>
      <c r="G33" t="s">
        <v>19</v>
      </c>
      <c r="H33" t="s">
        <v>40</v>
      </c>
      <c r="I33" t="s">
        <v>71</v>
      </c>
      <c r="J33" t="s">
        <v>72</v>
      </c>
      <c r="K33" t="s">
        <v>73</v>
      </c>
      <c r="L33" t="s">
        <v>74</v>
      </c>
      <c r="M33" t="s">
        <v>75</v>
      </c>
      <c r="N33" t="s">
        <v>76</v>
      </c>
      <c r="O33" t="s">
        <v>77</v>
      </c>
      <c r="P33" t="s">
        <v>78</v>
      </c>
      <c r="Q33" t="s">
        <v>79</v>
      </c>
      <c r="R33" t="s">
        <v>80</v>
      </c>
      <c r="S33" t="s">
        <v>81</v>
      </c>
      <c r="T33" t="s">
        <v>82</v>
      </c>
      <c r="U33" t="s">
        <v>83</v>
      </c>
      <c r="V33" t="s">
        <v>84</v>
      </c>
      <c r="W33" t="s">
        <v>85</v>
      </c>
      <c r="X33" t="s">
        <v>86</v>
      </c>
      <c r="Y33" t="s">
        <v>87</v>
      </c>
      <c r="Z33" t="s">
        <v>88</v>
      </c>
      <c r="AA33" t="s">
        <v>89</v>
      </c>
      <c r="AB33" t="s">
        <v>90</v>
      </c>
      <c r="AC33" t="s">
        <v>91</v>
      </c>
      <c r="AD33" t="s">
        <v>92</v>
      </c>
      <c r="AE33" t="s">
        <v>93</v>
      </c>
      <c r="AF33" t="s">
        <v>94</v>
      </c>
      <c r="AG33" t="s">
        <v>95</v>
      </c>
      <c r="AH33" t="s">
        <v>96</v>
      </c>
      <c r="AI33" t="s">
        <v>97</v>
      </c>
      <c r="AJ33" t="s">
        <v>98</v>
      </c>
      <c r="AK33" t="s">
        <v>99</v>
      </c>
      <c r="AL33" t="s">
        <v>100</v>
      </c>
      <c r="AM33" t="s">
        <v>101</v>
      </c>
      <c r="AN33" t="s">
        <v>102</v>
      </c>
      <c r="AO33" t="s">
        <v>103</v>
      </c>
      <c r="AP33" t="s">
        <v>104</v>
      </c>
      <c r="AQ33" t="s">
        <v>105</v>
      </c>
      <c r="AR33" t="s">
        <v>47</v>
      </c>
      <c r="AS33" t="s">
        <v>48</v>
      </c>
      <c r="AT33" t="s">
        <v>49</v>
      </c>
      <c r="AU33" t="s">
        <v>50</v>
      </c>
      <c r="AV33" t="s">
        <v>51</v>
      </c>
      <c r="AW33" t="s">
        <v>52</v>
      </c>
      <c r="AX33" t="s">
        <v>20</v>
      </c>
      <c r="AY33" t="s">
        <v>21</v>
      </c>
      <c r="AZ33" t="s">
        <v>22</v>
      </c>
      <c r="BA33" t="s">
        <v>23</v>
      </c>
      <c r="BB33" t="s">
        <v>24</v>
      </c>
      <c r="BC33" t="s">
        <v>25</v>
      </c>
      <c r="BD33" t="s">
        <v>26</v>
      </c>
      <c r="BE33" t="s">
        <v>28</v>
      </c>
      <c r="BF33" t="s">
        <v>29</v>
      </c>
      <c r="BG33" t="s">
        <v>30</v>
      </c>
      <c r="BH33" t="s">
        <v>31</v>
      </c>
      <c r="BI33" t="s">
        <v>32</v>
      </c>
      <c r="BJ33" t="s">
        <v>33</v>
      </c>
      <c r="BK33" t="s">
        <v>34</v>
      </c>
      <c r="BL33" t="s">
        <v>53</v>
      </c>
    </row>
    <row r="34" spans="1:64" x14ac:dyDescent="0.25">
      <c r="A34" s="4" t="str">
        <f>$A$3&amp;"_SN_LL"</f>
        <v>BXX_WW02_LI1_SN_LL</v>
      </c>
      <c r="B34" s="4" t="str">
        <f t="shared" ref="B34:B46" si="10">$A$3</f>
        <v>BXX_WW02_LI1</v>
      </c>
      <c r="C34" s="4" t="str">
        <f>$C$3 &amp; " LOLO Alarm Delay"</f>
        <v>BXX Wet Well 2 Level LOLO Alarm Delay</v>
      </c>
      <c r="D34" s="2">
        <f t="shared" ref="D34:D90" si="11">LEN(C34)</f>
        <v>37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>N34</f>
        <v>0</v>
      </c>
      <c r="AP34" s="4">
        <f>O34</f>
        <v>999</v>
      </c>
      <c r="AQ34" t="s">
        <v>108</v>
      </c>
      <c r="AR34" s="4" t="str">
        <f>$O$6</f>
        <v>BXX</v>
      </c>
      <c r="AS34" t="s">
        <v>14</v>
      </c>
      <c r="AT34" s="4" t="str">
        <f>$A$3&amp;".SN_LL"</f>
        <v>BXX_WW02_LI1.SN_LL</v>
      </c>
      <c r="AU34" t="s">
        <v>14</v>
      </c>
      <c r="AV34" s="4" t="str">
        <f>C34</f>
        <v>BXX Wet Well 2 Level LOLO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$A$3&amp;"_SN_HI"</f>
        <v>BXX_WW02_LI1_SN_HI</v>
      </c>
      <c r="B35" s="4" t="str">
        <f t="shared" si="10"/>
        <v>BXX_WW02_LI1</v>
      </c>
      <c r="C35" s="4" t="str">
        <f>$C$3 &amp; " High Alarm Delay"</f>
        <v>BXX Wet Well 2 Level High Alarm Delay</v>
      </c>
      <c r="D35" s="2">
        <f t="shared" si="11"/>
        <v>37</v>
      </c>
      <c r="E35" t="s">
        <v>14</v>
      </c>
      <c r="F35" t="s">
        <v>13</v>
      </c>
      <c r="G35" s="5">
        <v>900</v>
      </c>
      <c r="H35" t="s">
        <v>13</v>
      </c>
      <c r="I35" t="s">
        <v>14</v>
      </c>
      <c r="J35">
        <v>0</v>
      </c>
      <c r="K35">
        <v>0</v>
      </c>
      <c r="L35" t="s">
        <v>109</v>
      </c>
      <c r="M35" s="4">
        <f t="shared" ref="M35:M46" si="12">N35</f>
        <v>0</v>
      </c>
      <c r="N35">
        <v>0</v>
      </c>
      <c r="O35">
        <v>999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ref="AO35:AP46" si="13">N35</f>
        <v>0</v>
      </c>
      <c r="AP35" s="4">
        <f t="shared" si="13"/>
        <v>999</v>
      </c>
      <c r="AQ35" t="s">
        <v>108</v>
      </c>
      <c r="AR35" s="4" t="str">
        <f t="shared" ref="AR35:AR46" si="14">$O$6</f>
        <v>BXX</v>
      </c>
      <c r="AS35" t="s">
        <v>14</v>
      </c>
      <c r="AT35" s="4" t="str">
        <f>$A$3&amp;".SN_HI"</f>
        <v>BXX_WW02_LI1.SN_HI</v>
      </c>
      <c r="AU35" t="s">
        <v>14</v>
      </c>
      <c r="AV35" s="4" t="str">
        <f t="shared" ref="AV35:AV46" si="15">C35</f>
        <v>BXX Wet Well 2 Level High Alarm Delay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4" t="str">
        <f>$A$3&amp;"__AI_CV"</f>
        <v>BXX_WW02_LI1__AI_CV</v>
      </c>
      <c r="B36" s="4" t="str">
        <f t="shared" si="10"/>
        <v>BXX_WW02_LI1</v>
      </c>
      <c r="C36" s="4" t="str">
        <f>$C$3 &amp; " Current Value"</f>
        <v>BXX Wet Well 2 Level Current Value</v>
      </c>
      <c r="D36" s="2">
        <f t="shared" si="11"/>
        <v>34</v>
      </c>
      <c r="E36" t="s">
        <v>13</v>
      </c>
      <c r="F36" t="s">
        <v>14</v>
      </c>
      <c r="G36">
        <v>0</v>
      </c>
      <c r="H36" t="s">
        <v>13</v>
      </c>
      <c r="I36" t="s">
        <v>14</v>
      </c>
      <c r="J36">
        <v>0</v>
      </c>
      <c r="K36">
        <v>0</v>
      </c>
      <c r="L36" s="3" t="s">
        <v>122</v>
      </c>
      <c r="M36" s="4">
        <f t="shared" si="12"/>
        <v>0</v>
      </c>
      <c r="N36" s="3">
        <v>0</v>
      </c>
      <c r="O36" s="5">
        <v>100</v>
      </c>
      <c r="P36">
        <v>0</v>
      </c>
      <c r="Q36" s="4">
        <f>(O36-N36)*0.01</f>
        <v>1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100</v>
      </c>
      <c r="AQ36" t="s">
        <v>108</v>
      </c>
      <c r="AR36" s="4" t="str">
        <f t="shared" si="14"/>
        <v>BXX</v>
      </c>
      <c r="AS36" t="s">
        <v>14</v>
      </c>
      <c r="AT36" s="4" t="str">
        <f>$A$3&amp;".AI_CV"</f>
        <v>BXX_WW02_LI1.AI_CV</v>
      </c>
      <c r="AU36" t="s">
        <v>14</v>
      </c>
      <c r="AV36" s="4" t="str">
        <f t="shared" si="15"/>
        <v>BXX Wet Well 2 Level Current Value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4" t="str">
        <f>$A$3&amp;"_AO_XM"</f>
        <v>BXX_WW02_LI1_AO_XM</v>
      </c>
      <c r="B37" s="4" t="str">
        <f t="shared" si="10"/>
        <v>BXX_WW02_LI1</v>
      </c>
      <c r="C37" s="4" t="str">
        <f>$C$3 &amp; " Span Setpoint"</f>
        <v>BXX Wet Well 2 Level Span Setpoint</v>
      </c>
      <c r="D37" s="2">
        <f t="shared" si="11"/>
        <v>34</v>
      </c>
      <c r="E37" t="s">
        <v>14</v>
      </c>
      <c r="F37" t="s">
        <v>13</v>
      </c>
      <c r="G37">
        <v>900</v>
      </c>
      <c r="H37" t="s">
        <v>13</v>
      </c>
      <c r="I37" t="s">
        <v>14</v>
      </c>
      <c r="J37">
        <v>0</v>
      </c>
      <c r="K37">
        <v>0</v>
      </c>
      <c r="L37" s="4" t="str">
        <f>$L$36</f>
        <v>%</v>
      </c>
      <c r="M37" s="4">
        <f t="shared" si="12"/>
        <v>0</v>
      </c>
      <c r="N37" s="4">
        <f>$N$36</f>
        <v>0</v>
      </c>
      <c r="O37" s="5">
        <f>$O$36</f>
        <v>100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100</v>
      </c>
      <c r="AQ37" t="s">
        <v>108</v>
      </c>
      <c r="AR37" s="4" t="str">
        <f t="shared" si="14"/>
        <v>BXX</v>
      </c>
      <c r="AS37" t="s">
        <v>14</v>
      </c>
      <c r="AT37" s="4" t="str">
        <f>$A$3&amp;".AO_XM"</f>
        <v>BXX_WW02_LI1.AO_XM</v>
      </c>
      <c r="AU37" t="s">
        <v>14</v>
      </c>
      <c r="AV37" s="4" t="str">
        <f t="shared" si="15"/>
        <v>BXX Wet Well 2 Level Span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$A$3&amp;"_AO_LO"</f>
        <v>BXX_WW02_LI1_AO_LO</v>
      </c>
      <c r="B38" s="4" t="str">
        <f t="shared" si="10"/>
        <v>BXX_WW02_LI1</v>
      </c>
      <c r="C38" s="4" t="str">
        <f>$C$3 &amp; " Low Setpoint"</f>
        <v>BXX Wet Well 2 Level Low Setpoint</v>
      </c>
      <c r="D38" s="2">
        <f t="shared" si="11"/>
        <v>33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4" t="str">
        <f>$L$36</f>
        <v>%</v>
      </c>
      <c r="M38" s="4">
        <f t="shared" si="12"/>
        <v>0</v>
      </c>
      <c r="N38" s="4">
        <f>$N$36</f>
        <v>0</v>
      </c>
      <c r="O38" s="5">
        <f>$O$36</f>
        <v>100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100</v>
      </c>
      <c r="AQ38" t="s">
        <v>108</v>
      </c>
      <c r="AR38" s="4" t="str">
        <f t="shared" si="14"/>
        <v>BXX</v>
      </c>
      <c r="AS38" t="s">
        <v>14</v>
      </c>
      <c r="AT38" s="4" t="str">
        <f>$A$3&amp;".AO_LO"</f>
        <v>BXX_WW02_LI1.AO_LO</v>
      </c>
      <c r="AU38" t="s">
        <v>14</v>
      </c>
      <c r="AV38" s="4" t="str">
        <f t="shared" si="15"/>
        <v>BXX Wet Well 2 Level Low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$A$3&amp;"_AO_HH"</f>
        <v>BXX_WW02_LI1_AO_HH</v>
      </c>
      <c r="B39" s="4" t="str">
        <f t="shared" si="10"/>
        <v>BXX_WW02_LI1</v>
      </c>
      <c r="C39" s="4" t="str">
        <f>$C$3 &amp; " HIHI Setpoint"</f>
        <v>BXX Wet Well 2 Level HIHI Setpoint</v>
      </c>
      <c r="D39" s="2">
        <f t="shared" si="11"/>
        <v>34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4" t="str">
        <f>$L$36</f>
        <v>%</v>
      </c>
      <c r="M39" s="4">
        <f t="shared" si="12"/>
        <v>0</v>
      </c>
      <c r="N39" s="4">
        <f>$N$36</f>
        <v>0</v>
      </c>
      <c r="O39" s="5">
        <f>$O$36</f>
        <v>100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100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$A$3&amp;".AO_HH"</f>
        <v>BXX_WW02_LI1.AO_HH</v>
      </c>
      <c r="AU39" t="s">
        <v>14</v>
      </c>
      <c r="AV39" s="4" t="str">
        <f t="shared" si="15"/>
        <v>BXX Wet Well 2 Level HIHI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x14ac:dyDescent="0.25">
      <c r="A40" s="4" t="str">
        <f>$A$3&amp;"_E2_CV"</f>
        <v>BXX_WW02_LI1_E2_CV</v>
      </c>
      <c r="B40" s="4" t="str">
        <f t="shared" si="10"/>
        <v>BXX_WW02_LI1</v>
      </c>
      <c r="C40" s="4" t="str">
        <f>$C$3 &amp; " Units 2"</f>
        <v>BXX Wet Well 2 Level Units 2</v>
      </c>
      <c r="D40" s="2">
        <f t="shared" si="11"/>
        <v>28</v>
      </c>
      <c r="E40" t="s">
        <v>14</v>
      </c>
      <c r="F40" t="s">
        <v>14</v>
      </c>
      <c r="G40">
        <v>0</v>
      </c>
      <c r="H40" t="s">
        <v>13</v>
      </c>
      <c r="I40" t="s">
        <v>14</v>
      </c>
      <c r="J40">
        <v>0</v>
      </c>
      <c r="K40">
        <v>0</v>
      </c>
      <c r="L40" s="3" t="s">
        <v>170</v>
      </c>
      <c r="M40" s="4">
        <f t="shared" si="12"/>
        <v>0</v>
      </c>
      <c r="N40" s="3">
        <v>0</v>
      </c>
      <c r="O40" s="3">
        <v>6.5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6.5</v>
      </c>
      <c r="AQ40" t="s">
        <v>108</v>
      </c>
      <c r="AR40" s="4" t="str">
        <f t="shared" si="14"/>
        <v>BXX</v>
      </c>
      <c r="AS40" t="s">
        <v>14</v>
      </c>
      <c r="AT40" s="4" t="str">
        <f>$A$3&amp;".E2_CV"</f>
        <v>BXX_WW02_LI1.E2_CV</v>
      </c>
      <c r="AU40" t="s">
        <v>14</v>
      </c>
      <c r="AV40" s="4" t="str">
        <f t="shared" si="15"/>
        <v>BXX Wet Well 2 Level Units 2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$A$3&amp;"_AO_HI"</f>
        <v>BXX_WW02_LI1_AO_HI</v>
      </c>
      <c r="B41" s="4" t="str">
        <f t="shared" si="10"/>
        <v>BXX_WW02_LI1</v>
      </c>
      <c r="C41" s="4" t="str">
        <f>$C$3 &amp; " High Setpoint"</f>
        <v>BXX Wet Well 2 Level High Setpoint</v>
      </c>
      <c r="D41" s="2">
        <f t="shared" si="11"/>
        <v>34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s="4" t="str">
        <f>$L$36</f>
        <v>%</v>
      </c>
      <c r="M41" s="4">
        <f t="shared" si="12"/>
        <v>0</v>
      </c>
      <c r="N41" s="4">
        <f>$N$36</f>
        <v>0</v>
      </c>
      <c r="O41" s="5">
        <f>$O$36</f>
        <v>100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100</v>
      </c>
      <c r="AQ41" t="s">
        <v>108</v>
      </c>
      <c r="AR41" s="4" t="str">
        <f t="shared" si="14"/>
        <v>BXX</v>
      </c>
      <c r="AS41" t="s">
        <v>14</v>
      </c>
      <c r="AT41" s="4" t="str">
        <f>$A$3&amp;".AO_HI"</f>
        <v>BXX_WW02_LI1.AO_HI</v>
      </c>
      <c r="AU41" t="s">
        <v>14</v>
      </c>
      <c r="AV41" s="4" t="str">
        <f t="shared" si="15"/>
        <v>BXX Wet Well 2 Level High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s="4" t="str">
        <f>$A$3&amp;"_AO_SV"</f>
        <v>BXX_WW02_LI1_AO_SV</v>
      </c>
      <c r="B42" s="4" t="str">
        <f t="shared" si="10"/>
        <v>BXX_WW02_LI1</v>
      </c>
      <c r="C42" s="4" t="str">
        <f>$C$3 &amp; " Override Value"</f>
        <v>BXX Wet Well 2 Level Override Value</v>
      </c>
      <c r="D42" s="2">
        <f t="shared" si="11"/>
        <v>35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s="4" t="str">
        <f>$L$36</f>
        <v>%</v>
      </c>
      <c r="M42" s="4">
        <f t="shared" si="12"/>
        <v>0</v>
      </c>
      <c r="N42" s="4">
        <f>$N$36</f>
        <v>0</v>
      </c>
      <c r="O42" s="5">
        <f>$O$36</f>
        <v>100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100</v>
      </c>
      <c r="AQ42" t="s">
        <v>108</v>
      </c>
      <c r="AR42" s="4" t="str">
        <f t="shared" si="14"/>
        <v>BXX</v>
      </c>
      <c r="AS42" t="s">
        <v>14</v>
      </c>
      <c r="AT42" s="4" t="str">
        <f>$A$3&amp;".AO_SV"</f>
        <v>BXX_WW02_LI1.AO_SV</v>
      </c>
      <c r="AU42" t="s">
        <v>14</v>
      </c>
      <c r="AV42" s="4" t="str">
        <f t="shared" si="15"/>
        <v>BXX Wet Well 2 Level Override Value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4" t="str">
        <f>$A$3&amp;"_AO_EM"</f>
        <v>BXX_WW02_LI1_AO_EM</v>
      </c>
      <c r="B43" s="4" t="str">
        <f t="shared" si="10"/>
        <v>BXX_WW02_LI1</v>
      </c>
      <c r="C43" s="4" t="str">
        <f>$C$3 &amp; " Zero Setpoint"</f>
        <v>BXX Wet Well 2 Level Zero Setpoint</v>
      </c>
      <c r="D43" s="2">
        <f t="shared" si="11"/>
        <v>34</v>
      </c>
      <c r="E43" t="s">
        <v>14</v>
      </c>
      <c r="F43" t="s">
        <v>13</v>
      </c>
      <c r="G43">
        <v>900</v>
      </c>
      <c r="H43" t="s">
        <v>13</v>
      </c>
      <c r="I43" t="s">
        <v>14</v>
      </c>
      <c r="J43">
        <v>0</v>
      </c>
      <c r="K43">
        <v>0</v>
      </c>
      <c r="L43" s="4" t="str">
        <f>$L$36</f>
        <v>%</v>
      </c>
      <c r="M43" s="4">
        <f t="shared" si="12"/>
        <v>0</v>
      </c>
      <c r="N43" s="4">
        <f>$N$36</f>
        <v>0</v>
      </c>
      <c r="O43" s="5">
        <f>$O$36</f>
        <v>100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100</v>
      </c>
      <c r="AQ43" t="s">
        <v>108</v>
      </c>
      <c r="AR43" s="4" t="str">
        <f t="shared" si="14"/>
        <v>BXX</v>
      </c>
      <c r="AS43" t="s">
        <v>14</v>
      </c>
      <c r="AT43" s="4" t="str">
        <f>$A$3&amp;".AO_EM"</f>
        <v>BXX_WW02_LI1.AO_EM</v>
      </c>
      <c r="AU43" t="s">
        <v>14</v>
      </c>
      <c r="AV43" s="4" t="str">
        <f t="shared" si="15"/>
        <v>BXX Wet Well 2 Level Zero Setpoint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$A$3&amp;"_SN_HH"</f>
        <v>BXX_WW02_LI1_SN_HH</v>
      </c>
      <c r="B44" s="4" t="str">
        <f t="shared" si="10"/>
        <v>BXX_WW02_LI1</v>
      </c>
      <c r="C44" s="4" t="str">
        <f>$C$3 &amp; " HIHI Alarm Delay"</f>
        <v>BXX Wet Well 2 Level HIHI Alarm Delay</v>
      </c>
      <c r="D44" s="2">
        <f t="shared" si="11"/>
        <v>37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109</v>
      </c>
      <c r="M44" s="4">
        <f t="shared" si="12"/>
        <v>0</v>
      </c>
      <c r="N44">
        <v>0</v>
      </c>
      <c r="O44">
        <v>999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999</v>
      </c>
      <c r="AQ44" t="s">
        <v>108</v>
      </c>
      <c r="AR44" s="4" t="str">
        <f t="shared" si="14"/>
        <v>BXX</v>
      </c>
      <c r="AS44" t="s">
        <v>14</v>
      </c>
      <c r="AT44" s="4" t="str">
        <f>$A$3&amp;".SN_HH"</f>
        <v>BXX_WW02_LI1.SN_HH</v>
      </c>
      <c r="AU44" t="s">
        <v>14</v>
      </c>
      <c r="AV44" s="4" t="str">
        <f t="shared" si="15"/>
        <v>BXX Wet Well 2 Level HIHI Alarm Delay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4" t="str">
        <f>$A$3&amp;"_SN_LO"</f>
        <v>BXX_WW02_LI1_SN_LO</v>
      </c>
      <c r="B45" s="4" t="str">
        <f t="shared" si="10"/>
        <v>BXX_WW02_LI1</v>
      </c>
      <c r="C45" s="4" t="str">
        <f>$C$3 &amp; " Low Alarm Delay"</f>
        <v>BXX Wet Well 2 Level Low Alarm Delay</v>
      </c>
      <c r="D45" s="2">
        <f t="shared" si="11"/>
        <v>36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109</v>
      </c>
      <c r="M45" s="4">
        <f t="shared" si="12"/>
        <v>0</v>
      </c>
      <c r="N45">
        <v>0</v>
      </c>
      <c r="O45">
        <v>999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 s="4">
        <f t="shared" si="13"/>
        <v>0</v>
      </c>
      <c r="AP45" s="4">
        <f t="shared" si="13"/>
        <v>999</v>
      </c>
      <c r="AQ45" t="s">
        <v>108</v>
      </c>
      <c r="AR45" s="4" t="str">
        <f t="shared" si="14"/>
        <v>BXX</v>
      </c>
      <c r="AS45" t="s">
        <v>14</v>
      </c>
      <c r="AT45" s="4" t="str">
        <f>$A$3&amp;".SN_LO"</f>
        <v>BXX_WW02_LI1.SN_LO</v>
      </c>
      <c r="AU45" t="s">
        <v>14</v>
      </c>
      <c r="AV45" s="4" t="str">
        <f t="shared" si="15"/>
        <v>BXX Wet Well 2 Level Low Alarm Delay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4" t="str">
        <f>$A$3&amp;"_AO_LL"</f>
        <v>BXX_WW02_LI1_AO_LL</v>
      </c>
      <c r="B46" s="4" t="str">
        <f t="shared" si="10"/>
        <v>BXX_WW02_LI1</v>
      </c>
      <c r="C46" s="4" t="str">
        <f>$C$3 &amp; " LOLO Setpoint"</f>
        <v>BXX Wet Well 2 Level LOLO Setpoint</v>
      </c>
      <c r="D46" s="2">
        <f t="shared" si="11"/>
        <v>34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s="4" t="str">
        <f t="shared" ref="L46" si="16">$L$36</f>
        <v>%</v>
      </c>
      <c r="M46" s="4">
        <f t="shared" si="12"/>
        <v>0</v>
      </c>
      <c r="N46" s="4">
        <f t="shared" ref="N46" si="17">$N$36</f>
        <v>0</v>
      </c>
      <c r="O46" s="5">
        <f t="shared" ref="O46" si="18">$O$36</f>
        <v>100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 s="4">
        <f t="shared" si="13"/>
        <v>0</v>
      </c>
      <c r="AP46" s="4">
        <f t="shared" si="13"/>
        <v>100</v>
      </c>
      <c r="AQ46" t="s">
        <v>108</v>
      </c>
      <c r="AR46" s="4" t="str">
        <f t="shared" si="14"/>
        <v>BXX</v>
      </c>
      <c r="AS46" t="s">
        <v>14</v>
      </c>
      <c r="AT46" s="4" t="str">
        <f>$A$3&amp;".AO_LL"</f>
        <v>BXX_WW02_LI1.AO_LL</v>
      </c>
      <c r="AU46" t="s">
        <v>14</v>
      </c>
      <c r="AV46" s="4" t="str">
        <f t="shared" si="15"/>
        <v>BXX Wet Well 2 Level LOLO Setpoint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t="s">
        <v>123</v>
      </c>
      <c r="B47" t="s">
        <v>16</v>
      </c>
      <c r="C47" t="s">
        <v>17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51</v>
      </c>
      <c r="L47" t="s">
        <v>53</v>
      </c>
    </row>
    <row r="48" spans="1:64" x14ac:dyDescent="0.25">
      <c r="A48" s="4" t="str">
        <f>$A$3&amp;"_DI_NM"</f>
        <v>BXX_WW02_LI1_DI_NM</v>
      </c>
      <c r="B48" s="4" t="str">
        <f t="shared" ref="B48" si="19">$A$3</f>
        <v>BXX_WW02_LI1</v>
      </c>
      <c r="C48" s="4" t="str">
        <f t="shared" ref="C48" si="20">$A$3</f>
        <v>BXX_WW02_LI1</v>
      </c>
      <c r="D48" s="2">
        <f t="shared" si="11"/>
        <v>12</v>
      </c>
      <c r="E48" t="s">
        <v>14</v>
      </c>
      <c r="F48" t="s">
        <v>14</v>
      </c>
      <c r="G48">
        <v>0</v>
      </c>
      <c r="H48" t="s">
        <v>13</v>
      </c>
      <c r="I48">
        <v>24</v>
      </c>
      <c r="J48" t="s">
        <v>116</v>
      </c>
      <c r="K48" t="s">
        <v>116</v>
      </c>
      <c r="L48" t="s">
        <v>13</v>
      </c>
    </row>
    <row r="49" spans="1:16" x14ac:dyDescent="0.25">
      <c r="A49" t="s">
        <v>126</v>
      </c>
      <c r="B49" t="s">
        <v>127</v>
      </c>
      <c r="C49" t="s">
        <v>128</v>
      </c>
      <c r="D49" s="2">
        <f t="shared" si="11"/>
        <v>20</v>
      </c>
      <c r="E49" t="s">
        <v>14</v>
      </c>
      <c r="F49" t="s">
        <v>14</v>
      </c>
      <c r="G49">
        <v>0</v>
      </c>
      <c r="H49" t="s">
        <v>14</v>
      </c>
      <c r="I49">
        <v>131</v>
      </c>
    </row>
    <row r="50" spans="1:16" x14ac:dyDescent="0.25">
      <c r="A50" t="s">
        <v>604</v>
      </c>
      <c r="B50" t="s">
        <v>127</v>
      </c>
      <c r="C50" t="s">
        <v>129</v>
      </c>
      <c r="D50" s="2">
        <f t="shared" si="11"/>
        <v>32</v>
      </c>
      <c r="E50" t="s">
        <v>14</v>
      </c>
      <c r="F50" t="s">
        <v>14</v>
      </c>
      <c r="G50">
        <v>0</v>
      </c>
      <c r="H50" t="s">
        <v>14</v>
      </c>
      <c r="I50">
        <v>131</v>
      </c>
    </row>
    <row r="51" spans="1:16" x14ac:dyDescent="0.25">
      <c r="A51" t="s">
        <v>130</v>
      </c>
      <c r="B51" t="s">
        <v>16</v>
      </c>
      <c r="C51" t="s">
        <v>17</v>
      </c>
      <c r="D51" s="2">
        <f t="shared" si="11"/>
        <v>7</v>
      </c>
      <c r="E51" t="s">
        <v>39</v>
      </c>
      <c r="F51" t="s">
        <v>18</v>
      </c>
      <c r="G51" t="s">
        <v>19</v>
      </c>
      <c r="H51" t="s">
        <v>40</v>
      </c>
      <c r="I51" t="s">
        <v>124</v>
      </c>
      <c r="J51" t="s">
        <v>125</v>
      </c>
      <c r="K51" t="s">
        <v>47</v>
      </c>
      <c r="L51" t="s">
        <v>48</v>
      </c>
      <c r="M51" t="s">
        <v>49</v>
      </c>
      <c r="N51" t="s">
        <v>50</v>
      </c>
      <c r="O51" t="s">
        <v>51</v>
      </c>
      <c r="P51" t="s">
        <v>53</v>
      </c>
    </row>
    <row r="52" spans="1:16" x14ac:dyDescent="0.25">
      <c r="A52" s="4" t="str">
        <f>$A$3&amp;"_PB_HH_RN"</f>
        <v>BXX_WW02_LI1_PB_HH_RN</v>
      </c>
      <c r="B52" s="4" t="str">
        <f>$A$3</f>
        <v>BXX_WW02_LI1</v>
      </c>
      <c r="C52" s="4" t="str">
        <f>$C$3 &amp; " HIHI Alarm Disabled Reason"</f>
        <v>BXX Wet Well 2 Level HIHI Alarm Disabled Reason</v>
      </c>
      <c r="D52" s="2">
        <f t="shared" si="11"/>
        <v>47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">
        <v>630</v>
      </c>
      <c r="L52" t="s">
        <v>13</v>
      </c>
      <c r="M52" s="4" t="str">
        <f>A52</f>
        <v>BXX_WW02_LI1_PB_HH_RN</v>
      </c>
      <c r="N52" t="s">
        <v>14</v>
      </c>
      <c r="O52" s="4" t="str">
        <f>C52</f>
        <v>BXX Wet Well 2 Level HIHI Alarm Disabled Reason</v>
      </c>
    </row>
    <row r="53" spans="1:16" x14ac:dyDescent="0.25">
      <c r="A53" s="4" t="str">
        <f>$A$3&amp;"_PB_LL_RN"</f>
        <v>BXX_WW02_LI1_PB_LL_RN</v>
      </c>
      <c r="B53" s="4" t="str">
        <f t="shared" ref="B53:B54" si="21">$A$3</f>
        <v>BXX_WW02_LI1</v>
      </c>
      <c r="C53" s="4" t="str">
        <f>$C$3 &amp; " LOLO Alarm Disabled Reason"</f>
        <v>BXX Wet Well 2 Level LOLO Alarm Disabled Reason</v>
      </c>
      <c r="D53" s="2">
        <f t="shared" si="11"/>
        <v>47</v>
      </c>
      <c r="E53" t="s">
        <v>14</v>
      </c>
      <c r="F53" t="s">
        <v>14</v>
      </c>
      <c r="G53">
        <v>0</v>
      </c>
      <c r="H53" t="s">
        <v>13</v>
      </c>
      <c r="I53">
        <v>131</v>
      </c>
      <c r="J53" t="s">
        <v>131</v>
      </c>
      <c r="K53" s="5" t="str">
        <f>$K$52</f>
        <v>BXXCPU01_1</v>
      </c>
      <c r="L53" t="s">
        <v>13</v>
      </c>
      <c r="M53" s="4" t="str">
        <f>A53</f>
        <v>BXX_WW02_LI1_PB_LL_RN</v>
      </c>
      <c r="N53" t="s">
        <v>14</v>
      </c>
      <c r="O53" s="4" t="str">
        <f t="shared" ref="O53:O54" si="22">C53</f>
        <v>BXX Wet Well 2 Level LOLO Alarm Disabled Reason</v>
      </c>
    </row>
    <row r="54" spans="1:16" x14ac:dyDescent="0.25">
      <c r="A54" s="4" t="str">
        <f>$A$3&amp;"_PB_ER_RN"</f>
        <v>BXX_WW02_LI1_PB_ER_RN</v>
      </c>
      <c r="B54" s="4" t="str">
        <f t="shared" si="21"/>
        <v>BXX_WW02_LI1</v>
      </c>
      <c r="C54" s="4" t="str">
        <f>$C$3 &amp; " Sig Error Alarm Dis Reason"</f>
        <v>BXX Wet Well 2 Level Sig Error Alarm Dis Reason</v>
      </c>
      <c r="D54" s="2">
        <f t="shared" si="11"/>
        <v>47</v>
      </c>
      <c r="E54" t="s">
        <v>14</v>
      </c>
      <c r="F54" t="s">
        <v>14</v>
      </c>
      <c r="G54">
        <v>0</v>
      </c>
      <c r="H54" t="s">
        <v>13</v>
      </c>
      <c r="I54">
        <v>131</v>
      </c>
      <c r="J54" t="s">
        <v>131</v>
      </c>
      <c r="K54" s="5" t="str">
        <f>$K$52</f>
        <v>BXXCPU01_1</v>
      </c>
      <c r="L54" t="s">
        <v>13</v>
      </c>
      <c r="M54" s="4" t="str">
        <f>A54</f>
        <v>BXX_WW02_LI1_PB_ER_RN</v>
      </c>
      <c r="N54" t="s">
        <v>14</v>
      </c>
      <c r="O54" s="4" t="str">
        <f t="shared" si="22"/>
        <v>BXX Wet Well 2 Level Sig Error Alarm Dis Reason</v>
      </c>
    </row>
    <row r="55" spans="1:16" x14ac:dyDescent="0.25">
      <c r="A55" t="s">
        <v>560</v>
      </c>
      <c r="B55" t="s">
        <v>16</v>
      </c>
      <c r="C55" t="s">
        <v>17</v>
      </c>
      <c r="D55" s="2">
        <f t="shared" si="11"/>
        <v>7</v>
      </c>
      <c r="E55" t="s">
        <v>18</v>
      </c>
      <c r="F55" t="s">
        <v>19</v>
      </c>
      <c r="G55" t="s">
        <v>40</v>
      </c>
      <c r="H55" t="s">
        <v>53</v>
      </c>
    </row>
    <row r="56" spans="1:16" x14ac:dyDescent="0.25">
      <c r="A56" t="s">
        <v>458</v>
      </c>
      <c r="B56" t="s">
        <v>127</v>
      </c>
      <c r="C56" t="s">
        <v>132</v>
      </c>
      <c r="D56" s="2">
        <f t="shared" si="11"/>
        <v>44</v>
      </c>
      <c r="E56" t="s">
        <v>14</v>
      </c>
      <c r="F56">
        <v>0</v>
      </c>
      <c r="G56" t="s">
        <v>14</v>
      </c>
    </row>
    <row r="57" spans="1:16" x14ac:dyDescent="0.25">
      <c r="A57" t="s">
        <v>459</v>
      </c>
      <c r="B57" t="s">
        <v>127</v>
      </c>
      <c r="C57" t="s">
        <v>133</v>
      </c>
      <c r="D57" s="2">
        <f t="shared" si="11"/>
        <v>41</v>
      </c>
      <c r="E57" t="s">
        <v>14</v>
      </c>
      <c r="F57">
        <v>0</v>
      </c>
      <c r="G57" t="s">
        <v>14</v>
      </c>
    </row>
    <row r="58" spans="1:16" x14ac:dyDescent="0.25">
      <c r="A58" t="s">
        <v>460</v>
      </c>
      <c r="B58" t="s">
        <v>127</v>
      </c>
      <c r="C58" t="s">
        <v>134</v>
      </c>
      <c r="D58" s="2">
        <f t="shared" si="11"/>
        <v>39</v>
      </c>
      <c r="E58" t="s">
        <v>14</v>
      </c>
      <c r="F58">
        <v>0</v>
      </c>
      <c r="G58" t="s">
        <v>14</v>
      </c>
    </row>
    <row r="59" spans="1:16" x14ac:dyDescent="0.25">
      <c r="A59" t="s">
        <v>461</v>
      </c>
      <c r="B59" t="s">
        <v>127</v>
      </c>
      <c r="C59" t="s">
        <v>135</v>
      </c>
      <c r="D59" s="2">
        <f t="shared" si="11"/>
        <v>39</v>
      </c>
      <c r="E59" t="s">
        <v>14</v>
      </c>
      <c r="F59">
        <v>0</v>
      </c>
      <c r="G59" t="s">
        <v>14</v>
      </c>
    </row>
    <row r="60" spans="1:16" x14ac:dyDescent="0.25">
      <c r="A60" t="s">
        <v>462</v>
      </c>
      <c r="B60" t="s">
        <v>127</v>
      </c>
      <c r="C60" t="s">
        <v>136</v>
      </c>
      <c r="D60" s="2">
        <f t="shared" si="11"/>
        <v>41</v>
      </c>
      <c r="E60" t="s">
        <v>14</v>
      </c>
      <c r="F60">
        <v>0</v>
      </c>
      <c r="G60" t="s">
        <v>14</v>
      </c>
    </row>
    <row r="61" spans="1:16" x14ac:dyDescent="0.25">
      <c r="A61" t="s">
        <v>463</v>
      </c>
      <c r="B61" t="s">
        <v>127</v>
      </c>
      <c r="C61" t="s">
        <v>137</v>
      </c>
      <c r="D61" s="2">
        <f t="shared" si="11"/>
        <v>49</v>
      </c>
      <c r="E61" t="s">
        <v>14</v>
      </c>
      <c r="F61">
        <v>0</v>
      </c>
      <c r="G61" t="s">
        <v>14</v>
      </c>
    </row>
    <row r="62" spans="1:16" x14ac:dyDescent="0.25">
      <c r="A62" t="s">
        <v>464</v>
      </c>
      <c r="B62" t="s">
        <v>127</v>
      </c>
      <c r="C62" t="s">
        <v>138</v>
      </c>
      <c r="D62" s="2">
        <f t="shared" si="11"/>
        <v>35</v>
      </c>
      <c r="E62" t="s">
        <v>14</v>
      </c>
      <c r="F62">
        <v>0</v>
      </c>
      <c r="G62" t="s">
        <v>14</v>
      </c>
    </row>
    <row r="63" spans="1:16" x14ac:dyDescent="0.25">
      <c r="A63" t="s">
        <v>465</v>
      </c>
      <c r="B63" t="s">
        <v>127</v>
      </c>
      <c r="C63" t="s">
        <v>139</v>
      </c>
      <c r="D63" s="2">
        <f t="shared" si="11"/>
        <v>39</v>
      </c>
      <c r="E63" t="s">
        <v>14</v>
      </c>
      <c r="F63">
        <v>0</v>
      </c>
      <c r="G63" t="s">
        <v>14</v>
      </c>
    </row>
    <row r="64" spans="1:16" x14ac:dyDescent="0.25">
      <c r="A64" t="s">
        <v>487</v>
      </c>
      <c r="B64" t="s">
        <v>127</v>
      </c>
      <c r="C64" t="s">
        <v>140</v>
      </c>
      <c r="D64" s="2">
        <f t="shared" si="11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426</v>
      </c>
      <c r="B65" t="s">
        <v>127</v>
      </c>
      <c r="C65" t="s">
        <v>141</v>
      </c>
      <c r="D65" s="2">
        <f t="shared" si="11"/>
        <v>31</v>
      </c>
      <c r="E65" t="s">
        <v>14</v>
      </c>
      <c r="F65">
        <v>0</v>
      </c>
      <c r="G65" t="s">
        <v>14</v>
      </c>
    </row>
    <row r="66" spans="1:8" x14ac:dyDescent="0.25">
      <c r="A66" t="s">
        <v>466</v>
      </c>
      <c r="B66" t="s">
        <v>127</v>
      </c>
      <c r="C66" t="s">
        <v>142</v>
      </c>
      <c r="D66" s="2">
        <f t="shared" si="11"/>
        <v>41</v>
      </c>
      <c r="E66" t="s">
        <v>14</v>
      </c>
      <c r="F66">
        <v>0</v>
      </c>
      <c r="G66" t="s">
        <v>14</v>
      </c>
    </row>
    <row r="67" spans="1:8" x14ac:dyDescent="0.25">
      <c r="A67" t="s">
        <v>467</v>
      </c>
      <c r="B67" t="s">
        <v>127</v>
      </c>
      <c r="C67" t="s">
        <v>143</v>
      </c>
      <c r="D67" s="2">
        <f t="shared" si="11"/>
        <v>47</v>
      </c>
      <c r="E67" t="s">
        <v>14</v>
      </c>
      <c r="F67">
        <v>0</v>
      </c>
      <c r="G67" t="s">
        <v>14</v>
      </c>
    </row>
    <row r="68" spans="1:8" x14ac:dyDescent="0.25">
      <c r="A68" t="s">
        <v>468</v>
      </c>
      <c r="B68" t="s">
        <v>127</v>
      </c>
      <c r="C68" t="s">
        <v>144</v>
      </c>
      <c r="D68" s="2">
        <f t="shared" si="11"/>
        <v>30</v>
      </c>
      <c r="E68" t="s">
        <v>14</v>
      </c>
      <c r="F68">
        <v>0</v>
      </c>
      <c r="G68" t="s">
        <v>14</v>
      </c>
    </row>
    <row r="69" spans="1:8" x14ac:dyDescent="0.25">
      <c r="A69" t="s">
        <v>561</v>
      </c>
      <c r="B69" t="s">
        <v>16</v>
      </c>
      <c r="C69" t="s">
        <v>17</v>
      </c>
      <c r="D69" s="2">
        <f t="shared" si="11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493</v>
      </c>
      <c r="B70" t="s">
        <v>127</v>
      </c>
      <c r="C70" t="s">
        <v>146</v>
      </c>
      <c r="D70" s="2">
        <f t="shared" si="11"/>
        <v>49</v>
      </c>
      <c r="E70" t="s">
        <v>14</v>
      </c>
      <c r="F70">
        <v>0</v>
      </c>
      <c r="G70" t="s">
        <v>14</v>
      </c>
    </row>
    <row r="71" spans="1:8" x14ac:dyDescent="0.25">
      <c r="A71" t="s">
        <v>494</v>
      </c>
      <c r="B71" t="s">
        <v>127</v>
      </c>
      <c r="C71" t="s">
        <v>147</v>
      </c>
      <c r="D71" s="2">
        <f t="shared" si="11"/>
        <v>41</v>
      </c>
      <c r="E71" t="s">
        <v>14</v>
      </c>
      <c r="F71">
        <v>0</v>
      </c>
      <c r="G71" t="s">
        <v>14</v>
      </c>
    </row>
    <row r="72" spans="1:8" x14ac:dyDescent="0.25">
      <c r="A72" t="s">
        <v>499</v>
      </c>
      <c r="B72" t="s">
        <v>127</v>
      </c>
      <c r="C72" t="s">
        <v>148</v>
      </c>
      <c r="D72" s="2">
        <f t="shared" si="11"/>
        <v>37</v>
      </c>
      <c r="E72" t="s">
        <v>14</v>
      </c>
      <c r="F72">
        <v>0</v>
      </c>
      <c r="G72" t="s">
        <v>14</v>
      </c>
    </row>
    <row r="73" spans="1:8" x14ac:dyDescent="0.25">
      <c r="A73" t="s">
        <v>495</v>
      </c>
      <c r="B73" t="s">
        <v>127</v>
      </c>
      <c r="C73" t="s">
        <v>149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496</v>
      </c>
      <c r="B74" t="s">
        <v>127</v>
      </c>
      <c r="C74" t="s">
        <v>150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497</v>
      </c>
      <c r="B75" t="s">
        <v>127</v>
      </c>
      <c r="C75" t="s">
        <v>151</v>
      </c>
      <c r="D75" s="2">
        <f t="shared" si="11"/>
        <v>28</v>
      </c>
      <c r="E75" t="s">
        <v>14</v>
      </c>
      <c r="F75">
        <v>0</v>
      </c>
      <c r="G75" t="s">
        <v>14</v>
      </c>
    </row>
    <row r="76" spans="1:8" x14ac:dyDescent="0.25">
      <c r="A76" t="s">
        <v>498</v>
      </c>
      <c r="B76" t="s">
        <v>127</v>
      </c>
      <c r="C76" t="s">
        <v>152</v>
      </c>
      <c r="D76" s="2">
        <f t="shared" si="11"/>
        <v>26</v>
      </c>
      <c r="E76" t="s">
        <v>14</v>
      </c>
      <c r="F76">
        <v>0</v>
      </c>
      <c r="G76" t="s">
        <v>14</v>
      </c>
    </row>
    <row r="77" spans="1:8" x14ac:dyDescent="0.25">
      <c r="A77" t="s">
        <v>595</v>
      </c>
      <c r="B77" t="s">
        <v>127</v>
      </c>
      <c r="C77" t="s">
        <v>153</v>
      </c>
      <c r="D77" s="2">
        <f t="shared" si="11"/>
        <v>39</v>
      </c>
      <c r="E77" t="s">
        <v>14</v>
      </c>
      <c r="F77">
        <v>0</v>
      </c>
      <c r="G77" t="s">
        <v>14</v>
      </c>
    </row>
    <row r="78" spans="1:8" x14ac:dyDescent="0.25">
      <c r="A78" t="s">
        <v>596</v>
      </c>
      <c r="B78" t="s">
        <v>127</v>
      </c>
      <c r="C78" t="s">
        <v>154</v>
      </c>
      <c r="D78" s="2">
        <f t="shared" si="11"/>
        <v>37</v>
      </c>
      <c r="E78" t="s">
        <v>14</v>
      </c>
      <c r="F78">
        <v>0</v>
      </c>
      <c r="G78" t="s">
        <v>14</v>
      </c>
    </row>
    <row r="79" spans="1:8" x14ac:dyDescent="0.25">
      <c r="A79" t="s">
        <v>597</v>
      </c>
      <c r="B79" t="s">
        <v>127</v>
      </c>
      <c r="C79" t="s">
        <v>155</v>
      </c>
      <c r="D79" s="2">
        <f t="shared" si="11"/>
        <v>37</v>
      </c>
      <c r="E79" t="s">
        <v>14</v>
      </c>
      <c r="F79">
        <v>0</v>
      </c>
      <c r="G79" t="s">
        <v>14</v>
      </c>
    </row>
    <row r="80" spans="1:8" x14ac:dyDescent="0.25">
      <c r="A80" t="s">
        <v>598</v>
      </c>
      <c r="B80" t="s">
        <v>127</v>
      </c>
      <c r="C80" t="s">
        <v>156</v>
      </c>
      <c r="D80" s="2">
        <f t="shared" si="11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599</v>
      </c>
      <c r="B81" t="s">
        <v>127</v>
      </c>
      <c r="C81" t="s">
        <v>157</v>
      </c>
      <c r="D81" s="2">
        <f t="shared" si="11"/>
        <v>44</v>
      </c>
      <c r="E81" t="s">
        <v>14</v>
      </c>
      <c r="F81">
        <v>0</v>
      </c>
      <c r="G81" t="s">
        <v>14</v>
      </c>
    </row>
    <row r="82" spans="1:8" x14ac:dyDescent="0.25">
      <c r="A82" t="s">
        <v>600</v>
      </c>
      <c r="B82" t="s">
        <v>127</v>
      </c>
      <c r="C82" t="s">
        <v>158</v>
      </c>
      <c r="D82" s="2">
        <f t="shared" si="11"/>
        <v>44</v>
      </c>
      <c r="E82" t="s">
        <v>14</v>
      </c>
      <c r="F82">
        <v>0</v>
      </c>
      <c r="G82" t="s">
        <v>14</v>
      </c>
    </row>
    <row r="83" spans="1:8" x14ac:dyDescent="0.25">
      <c r="A83" t="s">
        <v>601</v>
      </c>
      <c r="B83" t="s">
        <v>127</v>
      </c>
      <c r="C83" t="s">
        <v>159</v>
      </c>
      <c r="D83" s="2">
        <f t="shared" si="11"/>
        <v>38</v>
      </c>
      <c r="E83" t="s">
        <v>14</v>
      </c>
      <c r="F83">
        <v>0</v>
      </c>
      <c r="G83" t="s">
        <v>14</v>
      </c>
    </row>
    <row r="84" spans="1:8" x14ac:dyDescent="0.25">
      <c r="A84" t="s">
        <v>602</v>
      </c>
      <c r="B84" t="s">
        <v>127</v>
      </c>
      <c r="C84" t="s">
        <v>160</v>
      </c>
      <c r="D84" s="2">
        <f t="shared" si="11"/>
        <v>37</v>
      </c>
      <c r="E84" t="s">
        <v>14</v>
      </c>
      <c r="F84">
        <v>0</v>
      </c>
      <c r="G84" t="s">
        <v>14</v>
      </c>
    </row>
    <row r="85" spans="1:8" x14ac:dyDescent="0.25">
      <c r="A85" t="s">
        <v>500</v>
      </c>
      <c r="B85" t="s">
        <v>127</v>
      </c>
      <c r="C85" t="s">
        <v>161</v>
      </c>
      <c r="D85" s="2">
        <f t="shared" si="11"/>
        <v>44</v>
      </c>
      <c r="E85" t="s">
        <v>14</v>
      </c>
      <c r="F85">
        <v>0</v>
      </c>
      <c r="G85" t="s">
        <v>14</v>
      </c>
    </row>
    <row r="86" spans="1:8" x14ac:dyDescent="0.25">
      <c r="A86" t="s">
        <v>559</v>
      </c>
      <c r="B86" t="s">
        <v>16</v>
      </c>
      <c r="C86" t="s">
        <v>17</v>
      </c>
      <c r="D86" s="2">
        <f t="shared" si="11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8" x14ac:dyDescent="0.25">
      <c r="A87" t="s">
        <v>163</v>
      </c>
      <c r="B87" t="s">
        <v>127</v>
      </c>
      <c r="C87" t="s">
        <v>164</v>
      </c>
      <c r="D87" s="2">
        <f t="shared" si="11"/>
        <v>38</v>
      </c>
      <c r="E87" t="s">
        <v>14</v>
      </c>
      <c r="F87">
        <v>0</v>
      </c>
      <c r="G87" t="s">
        <v>14</v>
      </c>
    </row>
    <row r="88" spans="1:8" x14ac:dyDescent="0.25">
      <c r="A88" t="s">
        <v>165</v>
      </c>
      <c r="B88" t="s">
        <v>16</v>
      </c>
      <c r="C88" t="s">
        <v>17</v>
      </c>
      <c r="D88" s="2">
        <f t="shared" si="11"/>
        <v>7</v>
      </c>
      <c r="E88" t="s">
        <v>53</v>
      </c>
    </row>
    <row r="89" spans="1:8" x14ac:dyDescent="0.25">
      <c r="A89" t="s">
        <v>166</v>
      </c>
      <c r="B89" t="s">
        <v>127</v>
      </c>
      <c r="C89" t="s">
        <v>167</v>
      </c>
      <c r="D89" s="2">
        <f t="shared" si="11"/>
        <v>29</v>
      </c>
    </row>
    <row r="90" spans="1:8" x14ac:dyDescent="0.25">
      <c r="D90" s="2">
        <f t="shared" si="11"/>
        <v>0</v>
      </c>
    </row>
  </sheetData>
  <conditionalFormatting sqref="D3:D4 D6:D27 D34:D46 D53:D90">
    <cfRule type="cellIs" dxfId="193" priority="4" operator="greaterThan">
      <formula>49</formula>
    </cfRule>
  </conditionalFormatting>
  <conditionalFormatting sqref="D30:D32">
    <cfRule type="cellIs" dxfId="192" priority="3" operator="greaterThan">
      <formula>49</formula>
    </cfRule>
  </conditionalFormatting>
  <conditionalFormatting sqref="D48:D52">
    <cfRule type="cellIs" dxfId="191" priority="2" operator="greaterThan">
      <formula>49</formula>
    </cfRule>
  </conditionalFormatting>
  <conditionalFormatting sqref="D28">
    <cfRule type="cellIs" dxfId="190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view="pageBreakPreview" topLeftCell="A29" zoomScale="80" zoomScaleNormal="100" zoomScaleSheetLayoutView="80" workbookViewId="0">
      <selection activeCell="K52" sqref="K52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427</v>
      </c>
      <c r="B3" s="4" t="str">
        <f>BXXPLC1!A5</f>
        <v>BXX</v>
      </c>
      <c r="C3" s="3" t="s">
        <v>262</v>
      </c>
      <c r="D3" s="2">
        <f>LEN(C3)</f>
        <v>20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BXX_BLS1_LI1_DI_AD</v>
      </c>
      <c r="B6" s="4" t="str">
        <f>$A$4</f>
        <v>BXX_DSAB</v>
      </c>
      <c r="C6" s="4" t="str">
        <f>$C$3 &amp; " Disabled Analog Alarm"</f>
        <v>BXX WW1 Backup Level Disabled Analog Alarm</v>
      </c>
      <c r="D6" s="2">
        <f>LEN(C6)</f>
        <v>42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BXX_BLS1_LI1.DI_AD</v>
      </c>
      <c r="R6" t="s">
        <v>14</v>
      </c>
      <c r="S6" s="4" t="str">
        <f>C6</f>
        <v>BXX WW1 Backup Level Disabled Analog Alarm</v>
      </c>
      <c r="T6">
        <v>0</v>
      </c>
      <c r="U6">
        <v>0</v>
      </c>
    </row>
    <row r="7" spans="1:23" x14ac:dyDescent="0.25">
      <c r="A7" s="4" t="str">
        <f>$A$3&amp;"_DI_SC"</f>
        <v>BXX_BLS1_LI1_DI_SC</v>
      </c>
      <c r="B7" s="4" t="str">
        <f>$A$3</f>
        <v>BXX_BLS1_LI1</v>
      </c>
      <c r="C7" s="4" t="str">
        <f>$C$3 &amp; " Scan Status"</f>
        <v>BXX WW1 Backup Level Scan Status</v>
      </c>
      <c r="D7" s="2">
        <f t="shared" ref="D7:D28" si="0">LEN(C7)</f>
        <v>32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BXX_BLS1_LI1.DI_SC</v>
      </c>
      <c r="R7" t="s">
        <v>14</v>
      </c>
      <c r="S7" s="4" t="str">
        <f t="shared" ref="S7:S28" si="1">C7</f>
        <v>BXX WW1 Backup Level Scan Status</v>
      </c>
      <c r="T7">
        <v>0</v>
      </c>
      <c r="U7">
        <v>0</v>
      </c>
    </row>
    <row r="8" spans="1:23" x14ac:dyDescent="0.25">
      <c r="A8" s="4" t="str">
        <f>$A$3&amp;"_DA_LL"</f>
        <v>BXX_BLS1_LI1_DA_LL</v>
      </c>
      <c r="B8" s="4" t="str">
        <f t="shared" ref="B8:B28" si="2">$A$3</f>
        <v>BXX_BLS1_LI1</v>
      </c>
      <c r="C8" s="4" t="str">
        <f>$C$3 &amp; " LOLO Alarm"</f>
        <v>BXX WW1 Backup Level LOLO Alarm</v>
      </c>
      <c r="D8" s="2">
        <f t="shared" si="0"/>
        <v>31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BXX_BLS1_LI1.DA_LL</v>
      </c>
      <c r="R8" t="s">
        <v>14</v>
      </c>
      <c r="S8" s="4" t="str">
        <f t="shared" si="1"/>
        <v>BXX WW1 Backup Level LOLO Alarm</v>
      </c>
      <c r="T8">
        <v>0</v>
      </c>
      <c r="U8">
        <v>0</v>
      </c>
    </row>
    <row r="9" spans="1:23" x14ac:dyDescent="0.25">
      <c r="A9" s="4" t="str">
        <f>$A$3&amp;"_DA_ER"</f>
        <v>BXX_BLS1_LI1_DA_ER</v>
      </c>
      <c r="B9" s="4" t="str">
        <f t="shared" si="2"/>
        <v>BXX_BLS1_LI1</v>
      </c>
      <c r="C9" s="4" t="str">
        <f>$C$3 &amp; " Signal Error Alarm"</f>
        <v>BXX WW1 Backup Level Signal Error Alarm</v>
      </c>
      <c r="D9" s="2">
        <f t="shared" si="0"/>
        <v>39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BXX_BLS1_LI1.DA_ER</v>
      </c>
      <c r="R9" t="s">
        <v>14</v>
      </c>
      <c r="S9" s="4" t="str">
        <f t="shared" si="1"/>
        <v>BXX WW1 Backup Level Signal Error Alarm</v>
      </c>
      <c r="T9">
        <v>0</v>
      </c>
      <c r="U9">
        <v>0</v>
      </c>
    </row>
    <row r="10" spans="1:23" x14ac:dyDescent="0.25">
      <c r="A10" s="4" t="str">
        <f>$A$3&amp;"_PB_SM"</f>
        <v>BXX_BLS1_LI1_PB_SM</v>
      </c>
      <c r="B10" s="4" t="str">
        <f t="shared" si="2"/>
        <v>BXX_BLS1_LI1</v>
      </c>
      <c r="C10" s="4" t="str">
        <f>$C$3 &amp; " Alarm Test"</f>
        <v>BXX WW1 Backup Level Alarm Test</v>
      </c>
      <c r="D10" s="2">
        <f t="shared" si="0"/>
        <v>31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BXX_BLS1_LI1.PB_SM</v>
      </c>
      <c r="R10" t="s">
        <v>14</v>
      </c>
      <c r="S10" s="4" t="str">
        <f t="shared" si="1"/>
        <v>BXX WW1 Backup Level Alarm Test</v>
      </c>
      <c r="T10">
        <v>0</v>
      </c>
      <c r="U10">
        <v>0</v>
      </c>
    </row>
    <row r="11" spans="1:23" x14ac:dyDescent="0.25">
      <c r="A11" s="4" t="str">
        <f>$A$3&amp;"_PB_SV"</f>
        <v>BXX_BLS1_LI1_PB_SV</v>
      </c>
      <c r="B11" s="4" t="str">
        <f t="shared" si="2"/>
        <v>BXX_BLS1_LI1</v>
      </c>
      <c r="C11" s="4" t="str">
        <f>$C$3 &amp; " Override Enable"</f>
        <v>BXX WW1 Backup Level Override Enable</v>
      </c>
      <c r="D11" s="2">
        <f t="shared" si="0"/>
        <v>36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BXX_BLS1_LI1.PB_SV</v>
      </c>
      <c r="R11" t="s">
        <v>14</v>
      </c>
      <c r="S11" s="4" t="str">
        <f t="shared" si="1"/>
        <v>BXX WW1 Backup Level Override Enable</v>
      </c>
      <c r="T11">
        <v>0</v>
      </c>
      <c r="U11">
        <v>0</v>
      </c>
    </row>
    <row r="12" spans="1:23" x14ac:dyDescent="0.25">
      <c r="A12" s="4" t="str">
        <f>$A$3&amp;"_PB_AE"</f>
        <v>BXX_BLS1_LI1_PB_AE</v>
      </c>
      <c r="B12" s="4" t="str">
        <f t="shared" si="2"/>
        <v>BXX_BLS1_LI1</v>
      </c>
      <c r="C12" s="4" t="str">
        <f>$C$3 &amp; " Alarm Enable"</f>
        <v>BXX WW1 Backup Level Alarm Enable</v>
      </c>
      <c r="D12" s="2">
        <f t="shared" si="0"/>
        <v>33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BXX_BLS1_LI1.PB_AE.RE</v>
      </c>
      <c r="R12" t="s">
        <v>14</v>
      </c>
      <c r="S12" s="4" t="str">
        <f t="shared" si="1"/>
        <v>BXX WW1 Backup Level Alarm Enable</v>
      </c>
      <c r="T12">
        <v>0</v>
      </c>
      <c r="U12">
        <v>0</v>
      </c>
    </row>
    <row r="13" spans="1:23" x14ac:dyDescent="0.25">
      <c r="A13" s="4" t="str">
        <f>$A$3&amp;"_PB_HI"</f>
        <v>BXX_BLS1_LI1_PB_HI</v>
      </c>
      <c r="B13" s="4" t="str">
        <f t="shared" si="2"/>
        <v>BXX_BLS1_LI1</v>
      </c>
      <c r="C13" s="4" t="str">
        <f>$C$3 &amp; " High Alarm Enable"</f>
        <v>BXX WW1 Backup Level High Alarm Enable</v>
      </c>
      <c r="D13" s="2">
        <f t="shared" si="0"/>
        <v>38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BXX_BLS1_LI1.PB_HI.RE</v>
      </c>
      <c r="R13" t="s">
        <v>14</v>
      </c>
      <c r="S13" s="4" t="str">
        <f t="shared" si="1"/>
        <v>BXX WW1 Backup Level High Alarm Enable</v>
      </c>
      <c r="T13">
        <v>0</v>
      </c>
      <c r="U13">
        <v>0</v>
      </c>
    </row>
    <row r="14" spans="1:23" x14ac:dyDescent="0.25">
      <c r="A14" s="4" t="str">
        <f>$A$3&amp;"_PB_LO"</f>
        <v>BXX_BLS1_LI1_PB_LO</v>
      </c>
      <c r="B14" s="4" t="str">
        <f t="shared" si="2"/>
        <v>BXX_BLS1_LI1</v>
      </c>
      <c r="C14" s="4" t="str">
        <f>$C$3 &amp; " Low Alarm Enable"</f>
        <v>BXX WW1 Backup Level Low Alarm Enable</v>
      </c>
      <c r="D14" s="2">
        <f t="shared" si="0"/>
        <v>37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BXX_BLS1_LI1.PB_LO.RE</v>
      </c>
      <c r="R14" t="s">
        <v>14</v>
      </c>
      <c r="S14" s="4" t="str">
        <f t="shared" si="1"/>
        <v>BXX WW1 Backup Level Low Alarm Enable</v>
      </c>
      <c r="T14">
        <v>0</v>
      </c>
      <c r="U14">
        <v>0</v>
      </c>
    </row>
    <row r="15" spans="1:23" x14ac:dyDescent="0.25">
      <c r="A15" s="4" t="str">
        <f>$A$3&amp;"_PB_LL"</f>
        <v>BXX_BLS1_LI1_PB_LL</v>
      </c>
      <c r="B15" s="4" t="str">
        <f t="shared" si="2"/>
        <v>BXX_BLS1_LI1</v>
      </c>
      <c r="C15" s="4" t="str">
        <f>$C$3 &amp; " LOLO Alarm Enable"</f>
        <v>BXX WW1 Backup Level LOLO Alarm Enable</v>
      </c>
      <c r="D15" s="2">
        <f t="shared" si="0"/>
        <v>38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BXX_BLS1_LI1.PB_LL.RE</v>
      </c>
      <c r="R15" t="s">
        <v>14</v>
      </c>
      <c r="S15" s="4" t="str">
        <f t="shared" si="1"/>
        <v>BXX WW1 Backup Level LOLO Alarm Enable</v>
      </c>
      <c r="T15">
        <v>0</v>
      </c>
      <c r="U15">
        <v>0</v>
      </c>
    </row>
    <row r="16" spans="1:23" x14ac:dyDescent="0.25">
      <c r="A16" s="4" t="str">
        <f>$A$3&amp;"_PB_ER"</f>
        <v>BXX_BLS1_LI1_PB_ER</v>
      </c>
      <c r="B16" s="4" t="str">
        <f t="shared" si="2"/>
        <v>BXX_BLS1_LI1</v>
      </c>
      <c r="C16" s="4" t="str">
        <f>$C$3 &amp; " Signal Error Alarm En"</f>
        <v>BXX WW1 Backup Level Signal Error Alarm En</v>
      </c>
      <c r="D16" s="2">
        <f t="shared" si="0"/>
        <v>42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BXX_BLS1_LI1.PB_ER.RE</v>
      </c>
      <c r="R16" t="s">
        <v>14</v>
      </c>
      <c r="S16" s="4" t="str">
        <f t="shared" si="1"/>
        <v>BXX WW1 Backup Level Signal Error Alarm En</v>
      </c>
      <c r="T16">
        <v>0</v>
      </c>
      <c r="U16">
        <v>0</v>
      </c>
    </row>
    <row r="17" spans="1:64" x14ac:dyDescent="0.25">
      <c r="A17" s="4" t="str">
        <f>$A$3&amp;"_PB_SC"</f>
        <v>BXX_BLS1_LI1_PB_SC</v>
      </c>
      <c r="B17" s="4" t="str">
        <f t="shared" si="2"/>
        <v>BXX_BLS1_LI1</v>
      </c>
      <c r="C17" s="4" t="str">
        <f>$C$3 &amp; " Scan Enable"</f>
        <v>BXX WW1 Backup Level Scan Enable</v>
      </c>
      <c r="D17" s="2">
        <f t="shared" si="0"/>
        <v>32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BXX_BLS1_LI1.PB_SC</v>
      </c>
      <c r="R17" t="s">
        <v>14</v>
      </c>
      <c r="S17" s="4" t="str">
        <f t="shared" si="1"/>
        <v>BXX WW1 Backup Level Scan Enable</v>
      </c>
      <c r="T17">
        <v>0</v>
      </c>
      <c r="U17">
        <v>0</v>
      </c>
    </row>
    <row r="18" spans="1:64" x14ac:dyDescent="0.25">
      <c r="A18" s="4" t="str">
        <f>$A$3&amp;"_DA_HH"</f>
        <v>BXX_BLS1_LI1_DA_HH</v>
      </c>
      <c r="B18" s="4" t="str">
        <f t="shared" si="2"/>
        <v>BXX_BLS1_LI1</v>
      </c>
      <c r="C18" s="4" t="str">
        <f>$C$3 &amp; " HIHI Alarm"</f>
        <v>BXX WW1 Backup Level HIHI Alarm</v>
      </c>
      <c r="D18" s="2">
        <f t="shared" si="0"/>
        <v>31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BXX_BLS1_LI1.DA_HH</v>
      </c>
      <c r="R18" t="s">
        <v>14</v>
      </c>
      <c r="S18" s="4" t="str">
        <f t="shared" si="1"/>
        <v>BXX WW1 Backup Level HIHI Alarm</v>
      </c>
      <c r="T18">
        <v>0</v>
      </c>
      <c r="U18">
        <v>0</v>
      </c>
    </row>
    <row r="19" spans="1:64" x14ac:dyDescent="0.25">
      <c r="A19" s="4" t="str">
        <f>$A$3&amp;"_DA_HI"</f>
        <v>BXX_BLS1_LI1_DA_HI</v>
      </c>
      <c r="B19" s="4" t="str">
        <f t="shared" si="2"/>
        <v>BXX_BLS1_LI1</v>
      </c>
      <c r="C19" s="4" t="str">
        <f>$C$3 &amp; " HI Alarm"</f>
        <v>BXX WW1 Backup Level HI Alarm</v>
      </c>
      <c r="D19" s="2">
        <f t="shared" si="0"/>
        <v>29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BXX_BLS1_LI1.DA_HI</v>
      </c>
      <c r="R19" t="s">
        <v>14</v>
      </c>
      <c r="S19" s="4" t="str">
        <f t="shared" si="1"/>
        <v>BXX WW1 Backup Level HI Alarm</v>
      </c>
      <c r="T19">
        <v>0</v>
      </c>
      <c r="U19">
        <v>0</v>
      </c>
    </row>
    <row r="20" spans="1:64" x14ac:dyDescent="0.25">
      <c r="A20" s="4" t="str">
        <f>$A$3&amp;"_PB_HH"</f>
        <v>BXX_BLS1_LI1_PB_HH</v>
      </c>
      <c r="B20" s="4" t="str">
        <f t="shared" si="2"/>
        <v>BXX_BLS1_LI1</v>
      </c>
      <c r="C20" s="4" t="str">
        <f>$C$3 &amp; " HIHI Alarm Enable"</f>
        <v>BXX WW1 Backup Level HIHI Alarm Enable</v>
      </c>
      <c r="D20" s="2">
        <f t="shared" si="0"/>
        <v>38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BXX_BLS1_LI1.PB_HH.RE</v>
      </c>
      <c r="R20" t="s">
        <v>14</v>
      </c>
      <c r="S20" s="4" t="str">
        <f t="shared" si="1"/>
        <v>BXX WW1 Backup Level HIHI Alarm Enable</v>
      </c>
      <c r="T20">
        <v>0</v>
      </c>
      <c r="U20">
        <v>0</v>
      </c>
    </row>
    <row r="21" spans="1:64" x14ac:dyDescent="0.25">
      <c r="A21" s="4" t="str">
        <f>$A$3&amp;"_PB_AR"</f>
        <v>BXX_BLS1_LI1_PB_AR</v>
      </c>
      <c r="B21" s="4" t="str">
        <f t="shared" si="2"/>
        <v>BXX_BLS1_LI1</v>
      </c>
      <c r="C21" s="4" t="str">
        <f>$C$3 &amp; " Alarm Reset"</f>
        <v>BXX WW1 Backup Level Alarm Reset</v>
      </c>
      <c r="D21" s="2">
        <f t="shared" si="0"/>
        <v>32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BXX_BLS1_LI1.PB_AR</v>
      </c>
      <c r="R21" t="s">
        <v>14</v>
      </c>
      <c r="S21" s="4" t="str">
        <f t="shared" si="1"/>
        <v>BXX WW1 Backup Level Alarm Reset</v>
      </c>
      <c r="T21">
        <v>0</v>
      </c>
      <c r="U21">
        <v>0</v>
      </c>
    </row>
    <row r="22" spans="1:64" x14ac:dyDescent="0.25">
      <c r="A22" s="4" t="str">
        <f>$A$3&amp;"_DA_LO"</f>
        <v>BXX_BLS1_LI1_DA_LO</v>
      </c>
      <c r="B22" s="4" t="str">
        <f t="shared" si="2"/>
        <v>BXX_BLS1_LI1</v>
      </c>
      <c r="C22" s="4" t="str">
        <f>$C$3 &amp; " LO Alarm"</f>
        <v>BXX WW1 Backup Level LO Alarm</v>
      </c>
      <c r="D22" s="2">
        <f t="shared" si="0"/>
        <v>29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BXX_BLS1_LI1.DA_LO</v>
      </c>
      <c r="R22" t="s">
        <v>14</v>
      </c>
      <c r="S22" s="4" t="str">
        <f t="shared" si="1"/>
        <v>BXX WW1 Backup Level LO Alarm</v>
      </c>
      <c r="T22">
        <v>0</v>
      </c>
      <c r="U22">
        <v>0</v>
      </c>
    </row>
    <row r="23" spans="1:64" x14ac:dyDescent="0.25">
      <c r="A23" s="4" t="str">
        <f>$A$3&amp;"_PB_LL_DE"</f>
        <v>BXX_BLS1_LI1_PB_LL_DE</v>
      </c>
      <c r="B23" s="4" t="str">
        <f t="shared" si="2"/>
        <v>BXX_BLS1_LI1</v>
      </c>
      <c r="C23" s="4" t="str">
        <f>$C$3 &amp; " LOLO Alarm Dialer Enable"</f>
        <v>BXX WW1 Backup Level LOLO Alarm Dialer Enable</v>
      </c>
      <c r="D23" s="2">
        <f t="shared" si="0"/>
        <v>45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BXX_BLS1_LI1.PB_LL.DE</v>
      </c>
      <c r="R23" t="s">
        <v>14</v>
      </c>
      <c r="S23" s="4" t="str">
        <f t="shared" si="1"/>
        <v>BXX WW1 Backup Level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BXX_BLS1_LI1_PB_ER_DE</v>
      </c>
      <c r="B24" s="4" t="str">
        <f t="shared" si="2"/>
        <v>BXX_BLS1_LI1</v>
      </c>
      <c r="C24" s="4" t="str">
        <f>$C$3 &amp; " Sig Error Alarm Dialer En"</f>
        <v>BXX WW1 Backup Level Sig Error Alarm Dialer En</v>
      </c>
      <c r="D24" s="2">
        <f t="shared" si="0"/>
        <v>46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BXX_BLS1_LI1.PB_ER.DE</v>
      </c>
      <c r="R24" t="s">
        <v>14</v>
      </c>
      <c r="S24" s="4" t="str">
        <f t="shared" si="1"/>
        <v>BXX WW1 Backup Level Sig Error Alarm Dialer En</v>
      </c>
      <c r="T24">
        <v>0</v>
      </c>
      <c r="U24">
        <v>0</v>
      </c>
    </row>
    <row r="25" spans="1:64" x14ac:dyDescent="0.25">
      <c r="A25" s="4" t="str">
        <f>$A$3&amp;"_PB_HH_DE"</f>
        <v>BXX_BLS1_LI1_PB_HH_DE</v>
      </c>
      <c r="B25" s="4" t="str">
        <f t="shared" si="2"/>
        <v>BXX_BLS1_LI1</v>
      </c>
      <c r="C25" s="4" t="str">
        <f>$C$3 &amp; " HIHI Alarm Dialer Enable"</f>
        <v>BXX WW1 Backup Level HIHI Alarm Dialer Enable</v>
      </c>
      <c r="D25" s="2">
        <f t="shared" si="0"/>
        <v>45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BXX_BLS1_LI1.PB_HH.DE</v>
      </c>
      <c r="R25" t="s">
        <v>14</v>
      </c>
      <c r="S25" s="4" t="str">
        <f t="shared" si="1"/>
        <v>BXX WW1 Backup Level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BXX_BLS1_LI1_PB_LL_SR</v>
      </c>
      <c r="B26" s="4" t="str">
        <f t="shared" si="2"/>
        <v>BXX_BLS1_LI1</v>
      </c>
      <c r="C26" s="4" t="str">
        <f>$C$3 &amp; " LOLO Alarm Sup Enable"</f>
        <v>BXX WW1 Backup Level LOLO Alarm Sup Enable</v>
      </c>
      <c r="D26" s="2">
        <f t="shared" si="0"/>
        <v>42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BXX_BLS1_LI1.PB_LL.SR</v>
      </c>
      <c r="R26" t="s">
        <v>14</v>
      </c>
      <c r="S26" s="4" t="str">
        <f t="shared" si="1"/>
        <v>BXX WW1 Backup Level LOLO Alarm Sup Enable</v>
      </c>
      <c r="T26">
        <v>0</v>
      </c>
      <c r="U26">
        <v>0</v>
      </c>
    </row>
    <row r="27" spans="1:64" x14ac:dyDescent="0.25">
      <c r="A27" s="4" t="str">
        <f>$A$3&amp;"_PB_ER_SR"</f>
        <v>BXX_BLS1_LI1_PB_ER_SR</v>
      </c>
      <c r="B27" s="4" t="str">
        <f t="shared" si="2"/>
        <v>BXX_BLS1_LI1</v>
      </c>
      <c r="C27" s="4" t="str">
        <f>$C$3 &amp; " Signal Error Alarm Sup En"</f>
        <v>BXX WW1 Backup Level Signal Error Alarm Sup En</v>
      </c>
      <c r="D27" s="2">
        <f t="shared" si="0"/>
        <v>46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BXX_BLS1_LI1.PB_ER.SR</v>
      </c>
      <c r="R27" t="s">
        <v>14</v>
      </c>
      <c r="S27" s="4" t="str">
        <f t="shared" si="1"/>
        <v>BXX WW1 Backup Level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BXX_BLS1_LI1_PB_HH_SR</v>
      </c>
      <c r="B28" s="4" t="str">
        <f t="shared" si="2"/>
        <v>BXX_BLS1_LI1</v>
      </c>
      <c r="C28" s="4" t="str">
        <f>$C$3 &amp; " HIHI Alarm Sup Enable"</f>
        <v>BXX WW1 Backup Level HIHI Alarm Sup Enable</v>
      </c>
      <c r="D28" s="2">
        <f t="shared" si="0"/>
        <v>42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BXX_BLS1_LI1.PB_HH.SR</v>
      </c>
      <c r="R28" t="s">
        <v>14</v>
      </c>
      <c r="S28" s="4" t="str">
        <f t="shared" si="1"/>
        <v>BXX WW1 Backup Level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BXX_BLS1_LI1_AI_VI</v>
      </c>
      <c r="B30" s="4" t="str">
        <f t="shared" ref="B30:B32" si="4">$A$3</f>
        <v>BXX_BLS1_LI1</v>
      </c>
      <c r="C30" s="4" t="str">
        <f>$C$3 &amp; " Number of Vis Eng Values"</f>
        <v>BXX WW1 Backup Level Number of Vis Eng Values</v>
      </c>
      <c r="D30" s="2">
        <f t="shared" ref="D30:D32" si="5">LEN(C30)</f>
        <v>45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5">
        <v>2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BXX_BLS1_LI1.AI_VI</v>
      </c>
      <c r="AU30" t="s">
        <v>14</v>
      </c>
      <c r="AV30" s="4" t="str">
        <f>C30</f>
        <v>BXX WW1 Backup Level Number of Vis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BXX_BLS1_LI1_AI_DC</v>
      </c>
      <c r="B31" s="4" t="str">
        <f t="shared" si="4"/>
        <v>BXX_BLS1_LI1</v>
      </c>
      <c r="C31" s="4" t="str">
        <f>$C$3 &amp; " Precision"</f>
        <v>BXX WW1 Backup Level Precision</v>
      </c>
      <c r="D31" s="2">
        <f t="shared" si="5"/>
        <v>30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:M32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2" si="7">N31</f>
        <v>0</v>
      </c>
      <c r="AP31" s="4">
        <f t="shared" si="7"/>
        <v>3</v>
      </c>
      <c r="AQ31" t="s">
        <v>108</v>
      </c>
      <c r="AR31" s="4" t="str">
        <f t="shared" ref="AR31:AR32" si="8">$O$6</f>
        <v>BXX</v>
      </c>
      <c r="AS31" t="s">
        <v>14</v>
      </c>
      <c r="AT31" s="4" t="str">
        <f>$A$3&amp;".AI_DC"</f>
        <v>BXX_BLS1_LI1.AI_DC</v>
      </c>
      <c r="AU31" t="s">
        <v>14</v>
      </c>
      <c r="AV31" s="4" t="str">
        <f t="shared" ref="AV31:AV32" si="9">C31</f>
        <v>BXX WW1 Backup Level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8" t="str">
        <f>$A$3&amp;"_E2_DC"</f>
        <v>BXX_BLS1_LI1_E2_DC</v>
      </c>
      <c r="B32" s="4" t="str">
        <f t="shared" si="4"/>
        <v>BXX_BLS1_LI1</v>
      </c>
      <c r="C32" s="4" t="str">
        <f>$C$3 &amp; " Eng Value 2 Precision"</f>
        <v>BXX WW1 Backup Level Eng Value 2 Precision</v>
      </c>
      <c r="D32" s="2">
        <f t="shared" si="5"/>
        <v>42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M32" s="4">
        <f t="shared" si="6"/>
        <v>0</v>
      </c>
      <c r="N32">
        <v>0</v>
      </c>
      <c r="O32">
        <v>3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 s="4">
        <f t="shared" si="7"/>
        <v>0</v>
      </c>
      <c r="AP32" s="4">
        <f t="shared" si="7"/>
        <v>3</v>
      </c>
      <c r="AQ32" t="s">
        <v>108</v>
      </c>
      <c r="AR32" s="4" t="str">
        <f t="shared" si="8"/>
        <v>BXX</v>
      </c>
      <c r="AS32" t="s">
        <v>14</v>
      </c>
      <c r="AT32" s="4" t="str">
        <f>$A$3&amp;".E2_DC"</f>
        <v>BXX_BLS1_LI1.E2_DC</v>
      </c>
      <c r="AU32" t="s">
        <v>14</v>
      </c>
      <c r="AV32" s="4" t="str">
        <f t="shared" si="9"/>
        <v>BXX WW1 Backup Level Eng Value 2 Precision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t="s">
        <v>70</v>
      </c>
      <c r="B33" t="s">
        <v>16</v>
      </c>
      <c r="C33" t="s">
        <v>17</v>
      </c>
      <c r="E33" t="s">
        <v>39</v>
      </c>
      <c r="F33" t="s">
        <v>18</v>
      </c>
      <c r="G33" t="s">
        <v>19</v>
      </c>
      <c r="H33" t="s">
        <v>40</v>
      </c>
      <c r="I33" t="s">
        <v>71</v>
      </c>
      <c r="J33" t="s">
        <v>72</v>
      </c>
      <c r="K33" t="s">
        <v>73</v>
      </c>
      <c r="L33" t="s">
        <v>74</v>
      </c>
      <c r="M33" t="s">
        <v>75</v>
      </c>
      <c r="N33" t="s">
        <v>76</v>
      </c>
      <c r="O33" t="s">
        <v>77</v>
      </c>
      <c r="P33" t="s">
        <v>78</v>
      </c>
      <c r="Q33" t="s">
        <v>79</v>
      </c>
      <c r="R33" t="s">
        <v>80</v>
      </c>
      <c r="S33" t="s">
        <v>81</v>
      </c>
      <c r="T33" t="s">
        <v>82</v>
      </c>
      <c r="U33" t="s">
        <v>83</v>
      </c>
      <c r="V33" t="s">
        <v>84</v>
      </c>
      <c r="W33" t="s">
        <v>85</v>
      </c>
      <c r="X33" t="s">
        <v>86</v>
      </c>
      <c r="Y33" t="s">
        <v>87</v>
      </c>
      <c r="Z33" t="s">
        <v>88</v>
      </c>
      <c r="AA33" t="s">
        <v>89</v>
      </c>
      <c r="AB33" t="s">
        <v>90</v>
      </c>
      <c r="AC33" t="s">
        <v>91</v>
      </c>
      <c r="AD33" t="s">
        <v>92</v>
      </c>
      <c r="AE33" t="s">
        <v>93</v>
      </c>
      <c r="AF33" t="s">
        <v>94</v>
      </c>
      <c r="AG33" t="s">
        <v>95</v>
      </c>
      <c r="AH33" t="s">
        <v>96</v>
      </c>
      <c r="AI33" t="s">
        <v>97</v>
      </c>
      <c r="AJ33" t="s">
        <v>98</v>
      </c>
      <c r="AK33" t="s">
        <v>99</v>
      </c>
      <c r="AL33" t="s">
        <v>100</v>
      </c>
      <c r="AM33" t="s">
        <v>101</v>
      </c>
      <c r="AN33" t="s">
        <v>102</v>
      </c>
      <c r="AO33" t="s">
        <v>103</v>
      </c>
      <c r="AP33" t="s">
        <v>104</v>
      </c>
      <c r="AQ33" t="s">
        <v>105</v>
      </c>
      <c r="AR33" t="s">
        <v>47</v>
      </c>
      <c r="AS33" t="s">
        <v>48</v>
      </c>
      <c r="AT33" t="s">
        <v>49</v>
      </c>
      <c r="AU33" t="s">
        <v>50</v>
      </c>
      <c r="AV33" t="s">
        <v>51</v>
      </c>
      <c r="AW33" t="s">
        <v>52</v>
      </c>
      <c r="AX33" t="s">
        <v>20</v>
      </c>
      <c r="AY33" t="s">
        <v>21</v>
      </c>
      <c r="AZ33" t="s">
        <v>22</v>
      </c>
      <c r="BA33" t="s">
        <v>23</v>
      </c>
      <c r="BB33" t="s">
        <v>24</v>
      </c>
      <c r="BC33" t="s">
        <v>25</v>
      </c>
      <c r="BD33" t="s">
        <v>26</v>
      </c>
      <c r="BE33" t="s">
        <v>28</v>
      </c>
      <c r="BF33" t="s">
        <v>29</v>
      </c>
      <c r="BG33" t="s">
        <v>30</v>
      </c>
      <c r="BH33" t="s">
        <v>31</v>
      </c>
      <c r="BI33" t="s">
        <v>32</v>
      </c>
      <c r="BJ33" t="s">
        <v>33</v>
      </c>
      <c r="BK33" t="s">
        <v>34</v>
      </c>
      <c r="BL33" t="s">
        <v>53</v>
      </c>
    </row>
    <row r="34" spans="1:64" x14ac:dyDescent="0.25">
      <c r="A34" s="4" t="str">
        <f>$A$3&amp;"_SN_LL"</f>
        <v>BXX_BLS1_LI1_SN_LL</v>
      </c>
      <c r="B34" s="4" t="str">
        <f t="shared" ref="B34:C48" si="10">$A$3</f>
        <v>BXX_BLS1_LI1</v>
      </c>
      <c r="C34" s="4" t="str">
        <f>$C$3 &amp; " LOLO Alarm Delay"</f>
        <v>BXX WW1 Backup Level LOLO Alarm Delay</v>
      </c>
      <c r="D34" s="2">
        <f t="shared" ref="D34:D90" si="11">LEN(C34)</f>
        <v>37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>N34</f>
        <v>0</v>
      </c>
      <c r="AP34" s="4">
        <f>O34</f>
        <v>999</v>
      </c>
      <c r="AQ34" t="s">
        <v>108</v>
      </c>
      <c r="AR34" s="4" t="str">
        <f>$O$6</f>
        <v>BXX</v>
      </c>
      <c r="AS34" t="s">
        <v>14</v>
      </c>
      <c r="AT34" s="4" t="str">
        <f>$A$3&amp;".SN_LL"</f>
        <v>BXX_BLS1_LI1.SN_LL</v>
      </c>
      <c r="AU34" t="s">
        <v>14</v>
      </c>
      <c r="AV34" s="4" t="str">
        <f>C34</f>
        <v>BXX WW1 Backup Level LOLO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$A$3&amp;"_SN_HI"</f>
        <v>BXX_BLS1_LI1_SN_HI</v>
      </c>
      <c r="B35" s="4" t="str">
        <f t="shared" si="10"/>
        <v>BXX_BLS1_LI1</v>
      </c>
      <c r="C35" s="4" t="str">
        <f>$C$3 &amp; " High Alarm Delay"</f>
        <v>BXX WW1 Backup Level High Alarm Delay</v>
      </c>
      <c r="D35" s="2">
        <f t="shared" si="11"/>
        <v>37</v>
      </c>
      <c r="E35" t="s">
        <v>14</v>
      </c>
      <c r="F35" t="s">
        <v>13</v>
      </c>
      <c r="G35" s="5">
        <v>900</v>
      </c>
      <c r="H35" t="s">
        <v>13</v>
      </c>
      <c r="I35" t="s">
        <v>14</v>
      </c>
      <c r="J35">
        <v>0</v>
      </c>
      <c r="K35">
        <v>0</v>
      </c>
      <c r="L35" t="s">
        <v>109</v>
      </c>
      <c r="M35" s="4">
        <f t="shared" ref="M35:M46" si="12">N35</f>
        <v>0</v>
      </c>
      <c r="N35">
        <v>0</v>
      </c>
      <c r="O35">
        <v>999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ref="AO35:AP46" si="13">N35</f>
        <v>0</v>
      </c>
      <c r="AP35" s="4">
        <f t="shared" si="13"/>
        <v>999</v>
      </c>
      <c r="AQ35" t="s">
        <v>108</v>
      </c>
      <c r="AR35" s="4" t="str">
        <f t="shared" ref="AR35:AR46" si="14">$O$6</f>
        <v>BXX</v>
      </c>
      <c r="AS35" t="s">
        <v>14</v>
      </c>
      <c r="AT35" s="4" t="str">
        <f>$A$3&amp;".SN_HI"</f>
        <v>BXX_BLS1_LI1.SN_HI</v>
      </c>
      <c r="AU35" t="s">
        <v>14</v>
      </c>
      <c r="AV35" s="4" t="str">
        <f t="shared" ref="AV35:AV46" si="15">C35</f>
        <v>BXX WW1 Backup Level High Alarm Delay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4" t="str">
        <f>$A$3&amp;"_AI_CV"</f>
        <v>BXX_BLS1_LI1_AI_CV</v>
      </c>
      <c r="B36" s="4" t="str">
        <f t="shared" si="10"/>
        <v>BXX_BLS1_LI1</v>
      </c>
      <c r="C36" s="4" t="str">
        <f>$C$3 &amp; " Current Value"</f>
        <v>BXX WW1 Backup Level Current Value</v>
      </c>
      <c r="D36" s="2">
        <f t="shared" si="11"/>
        <v>34</v>
      </c>
      <c r="E36" t="s">
        <v>13</v>
      </c>
      <c r="F36" t="s">
        <v>14</v>
      </c>
      <c r="G36">
        <v>0</v>
      </c>
      <c r="H36" t="s">
        <v>13</v>
      </c>
      <c r="I36" t="s">
        <v>14</v>
      </c>
      <c r="J36">
        <v>0</v>
      </c>
      <c r="K36">
        <v>0</v>
      </c>
      <c r="L36" s="3" t="s">
        <v>122</v>
      </c>
      <c r="M36" s="4">
        <f t="shared" si="12"/>
        <v>0</v>
      </c>
      <c r="N36" s="3">
        <v>0</v>
      </c>
      <c r="O36" s="3">
        <v>100</v>
      </c>
      <c r="P36">
        <v>0</v>
      </c>
      <c r="Q36" s="4">
        <f>(O36-N36)*0.01</f>
        <v>1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100</v>
      </c>
      <c r="AQ36" t="s">
        <v>108</v>
      </c>
      <c r="AR36" s="4" t="str">
        <f t="shared" si="14"/>
        <v>BXX</v>
      </c>
      <c r="AS36" t="s">
        <v>14</v>
      </c>
      <c r="AT36" s="4" t="str">
        <f>$A$3&amp;".AI_CV"</f>
        <v>BXX_BLS1_LI1.AI_CV</v>
      </c>
      <c r="AU36" t="s">
        <v>14</v>
      </c>
      <c r="AV36" s="4" t="str">
        <f t="shared" si="15"/>
        <v>BXX WW1 Backup Level Current Value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4" t="str">
        <f>$A$3&amp;"_AO_XM"</f>
        <v>BXX_BLS1_LI1_AO_XM</v>
      </c>
      <c r="B37" s="4" t="str">
        <f t="shared" si="10"/>
        <v>BXX_BLS1_LI1</v>
      </c>
      <c r="C37" s="4" t="str">
        <f>$C$3 &amp; " Span Setpoint"</f>
        <v>BXX WW1 Backup Level Span Setpoint</v>
      </c>
      <c r="D37" s="2">
        <f t="shared" si="11"/>
        <v>34</v>
      </c>
      <c r="E37" t="s">
        <v>14</v>
      </c>
      <c r="F37" t="s">
        <v>13</v>
      </c>
      <c r="G37">
        <v>900</v>
      </c>
      <c r="H37" t="s">
        <v>13</v>
      </c>
      <c r="I37" t="s">
        <v>14</v>
      </c>
      <c r="J37">
        <v>0</v>
      </c>
      <c r="K37">
        <v>0</v>
      </c>
      <c r="L37" s="4" t="str">
        <f>$L$36</f>
        <v>%</v>
      </c>
      <c r="M37" s="4">
        <f t="shared" si="12"/>
        <v>0</v>
      </c>
      <c r="N37" s="4">
        <f>$N$36</f>
        <v>0</v>
      </c>
      <c r="O37" s="4">
        <f>$O$36</f>
        <v>100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100</v>
      </c>
      <c r="AQ37" t="s">
        <v>108</v>
      </c>
      <c r="AR37" s="4" t="str">
        <f t="shared" si="14"/>
        <v>BXX</v>
      </c>
      <c r="AS37" t="s">
        <v>14</v>
      </c>
      <c r="AT37" s="4" t="str">
        <f>$A$3&amp;".AO_XM"</f>
        <v>BXX_BLS1_LI1.AO_XM</v>
      </c>
      <c r="AU37" t="s">
        <v>14</v>
      </c>
      <c r="AV37" s="4" t="str">
        <f t="shared" si="15"/>
        <v>BXX WW1 Backup Level Span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$A$3&amp;"_AO_LO"</f>
        <v>BXX_BLS1_LI1_AO_LO</v>
      </c>
      <c r="B38" s="4" t="str">
        <f t="shared" si="10"/>
        <v>BXX_BLS1_LI1</v>
      </c>
      <c r="C38" s="4" t="str">
        <f>$C$3 &amp; " Low Setpoint"</f>
        <v>BXX WW1 Backup Level Low Setpoint</v>
      </c>
      <c r="D38" s="2">
        <f t="shared" si="11"/>
        <v>33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4" t="str">
        <f>$L$36</f>
        <v>%</v>
      </c>
      <c r="M38" s="4">
        <f t="shared" si="12"/>
        <v>0</v>
      </c>
      <c r="N38" s="4">
        <f>$N$36</f>
        <v>0</v>
      </c>
      <c r="O38" s="4">
        <f>$O$36</f>
        <v>100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100</v>
      </c>
      <c r="AQ38" t="s">
        <v>108</v>
      </c>
      <c r="AR38" s="4" t="str">
        <f t="shared" si="14"/>
        <v>BXX</v>
      </c>
      <c r="AS38" t="s">
        <v>14</v>
      </c>
      <c r="AT38" s="4" t="str">
        <f>$A$3&amp;".AO_LO"</f>
        <v>BXX_BLS1_LI1.AO_LO</v>
      </c>
      <c r="AU38" t="s">
        <v>14</v>
      </c>
      <c r="AV38" s="4" t="str">
        <f t="shared" si="15"/>
        <v>BXX WW1 Backup Level Low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$A$3&amp;"_AO_HH"</f>
        <v>BXX_BLS1_LI1_AO_HH</v>
      </c>
      <c r="B39" s="4" t="str">
        <f t="shared" si="10"/>
        <v>BXX_BLS1_LI1</v>
      </c>
      <c r="C39" s="4" t="str">
        <f>$C$3 &amp; " HIHI Setpoint"</f>
        <v>BXX WW1 Backup Level HIHI Setpoint</v>
      </c>
      <c r="D39" s="2">
        <f t="shared" si="11"/>
        <v>34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4" t="str">
        <f>$L$36</f>
        <v>%</v>
      </c>
      <c r="M39" s="4">
        <f t="shared" si="12"/>
        <v>0</v>
      </c>
      <c r="N39" s="4">
        <f>$N$36</f>
        <v>0</v>
      </c>
      <c r="O39" s="4">
        <f>$O$36</f>
        <v>100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100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$A$3&amp;".AO_HH"</f>
        <v>BXX_BLS1_LI1.AO_HH</v>
      </c>
      <c r="AU39" t="s">
        <v>14</v>
      </c>
      <c r="AV39" s="4" t="str">
        <f t="shared" si="15"/>
        <v>BXX WW1 Backup Level HIHI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x14ac:dyDescent="0.25">
      <c r="A40" s="4" t="str">
        <f>$A$3&amp;"_E2_CV"</f>
        <v>BXX_BLS1_LI1_E2_CV</v>
      </c>
      <c r="B40" s="4" t="str">
        <f t="shared" si="10"/>
        <v>BXX_BLS1_LI1</v>
      </c>
      <c r="C40" s="4" t="str">
        <f>$C$3 &amp; " Units 2"</f>
        <v>BXX WW1 Backup Level Units 2</v>
      </c>
      <c r="D40" s="2">
        <f t="shared" si="11"/>
        <v>28</v>
      </c>
      <c r="E40" t="s">
        <v>14</v>
      </c>
      <c r="F40" t="s">
        <v>14</v>
      </c>
      <c r="G40">
        <v>0</v>
      </c>
      <c r="H40" t="s">
        <v>13</v>
      </c>
      <c r="I40" t="s">
        <v>14</v>
      </c>
      <c r="J40">
        <v>0</v>
      </c>
      <c r="K40">
        <v>0</v>
      </c>
      <c r="L40" s="3" t="s">
        <v>170</v>
      </c>
      <c r="M40" s="4">
        <f t="shared" si="12"/>
        <v>0</v>
      </c>
      <c r="N40" s="3">
        <v>0</v>
      </c>
      <c r="O40" s="3">
        <v>6.5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6.5</v>
      </c>
      <c r="AQ40" t="s">
        <v>108</v>
      </c>
      <c r="AR40" s="4" t="str">
        <f t="shared" si="14"/>
        <v>BXX</v>
      </c>
      <c r="AS40" t="s">
        <v>14</v>
      </c>
      <c r="AT40" s="4" t="str">
        <f>$A$3&amp;".E2_CV"</f>
        <v>BXX_BLS1_LI1.E2_CV</v>
      </c>
      <c r="AU40" t="s">
        <v>14</v>
      </c>
      <c r="AV40" s="4" t="str">
        <f t="shared" si="15"/>
        <v>BXX WW1 Backup Level Units 2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$A$3&amp;"_AO_HI"</f>
        <v>BXX_BLS1_LI1_AO_HI</v>
      </c>
      <c r="B41" s="4" t="str">
        <f t="shared" si="10"/>
        <v>BXX_BLS1_LI1</v>
      </c>
      <c r="C41" s="4" t="str">
        <f>$C$3 &amp; " High Setpoint"</f>
        <v>BXX WW1 Backup Level High Setpoint</v>
      </c>
      <c r="D41" s="2">
        <f t="shared" si="11"/>
        <v>34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s="4" t="str">
        <f>$L$36</f>
        <v>%</v>
      </c>
      <c r="M41" s="4">
        <f t="shared" si="12"/>
        <v>0</v>
      </c>
      <c r="N41" s="4">
        <f>$N$36</f>
        <v>0</v>
      </c>
      <c r="O41" s="4">
        <f>$O$36</f>
        <v>100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100</v>
      </c>
      <c r="AQ41" t="s">
        <v>108</v>
      </c>
      <c r="AR41" s="4" t="str">
        <f t="shared" si="14"/>
        <v>BXX</v>
      </c>
      <c r="AS41" t="s">
        <v>14</v>
      </c>
      <c r="AT41" s="4" t="str">
        <f>$A$3&amp;".AO_HI"</f>
        <v>BXX_BLS1_LI1.AO_HI</v>
      </c>
      <c r="AU41" t="s">
        <v>14</v>
      </c>
      <c r="AV41" s="4" t="str">
        <f t="shared" si="15"/>
        <v>BXX WW1 Backup Level High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s="4" t="str">
        <f>$A$3&amp;"_AO_SV"</f>
        <v>BXX_BLS1_LI1_AO_SV</v>
      </c>
      <c r="B42" s="4" t="str">
        <f t="shared" si="10"/>
        <v>BXX_BLS1_LI1</v>
      </c>
      <c r="C42" s="4" t="str">
        <f>$C$3 &amp; " Override Value"</f>
        <v>BXX WW1 Backup Level Override Value</v>
      </c>
      <c r="D42" s="2">
        <f t="shared" si="11"/>
        <v>35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s="4" t="str">
        <f>$L$36</f>
        <v>%</v>
      </c>
      <c r="M42" s="4">
        <f t="shared" si="12"/>
        <v>0</v>
      </c>
      <c r="N42" s="4">
        <f>$N$36</f>
        <v>0</v>
      </c>
      <c r="O42" s="4">
        <f>$O$36</f>
        <v>100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100</v>
      </c>
      <c r="AQ42" t="s">
        <v>108</v>
      </c>
      <c r="AR42" s="4" t="str">
        <f t="shared" si="14"/>
        <v>BXX</v>
      </c>
      <c r="AS42" t="s">
        <v>14</v>
      </c>
      <c r="AT42" s="4" t="str">
        <f>$A$3&amp;".AO_SV"</f>
        <v>BXX_BLS1_LI1.AO_SV</v>
      </c>
      <c r="AU42" t="s">
        <v>14</v>
      </c>
      <c r="AV42" s="4" t="str">
        <f t="shared" si="15"/>
        <v>BXX WW1 Backup Level Override Value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4" t="str">
        <f>$A$3&amp;"_AO_EM"</f>
        <v>BXX_BLS1_LI1_AO_EM</v>
      </c>
      <c r="B43" s="4" t="str">
        <f t="shared" si="10"/>
        <v>BXX_BLS1_LI1</v>
      </c>
      <c r="C43" s="4" t="str">
        <f>$C$3 &amp; " Zero Setpoint"</f>
        <v>BXX WW1 Backup Level Zero Setpoint</v>
      </c>
      <c r="D43" s="2">
        <f t="shared" si="11"/>
        <v>34</v>
      </c>
      <c r="E43" t="s">
        <v>14</v>
      </c>
      <c r="F43" t="s">
        <v>13</v>
      </c>
      <c r="G43">
        <v>900</v>
      </c>
      <c r="H43" t="s">
        <v>13</v>
      </c>
      <c r="I43" t="s">
        <v>14</v>
      </c>
      <c r="J43">
        <v>0</v>
      </c>
      <c r="K43">
        <v>0</v>
      </c>
      <c r="L43" s="4" t="str">
        <f>$L$36</f>
        <v>%</v>
      </c>
      <c r="M43" s="4">
        <f t="shared" si="12"/>
        <v>0</v>
      </c>
      <c r="N43" s="4">
        <f>$N$36</f>
        <v>0</v>
      </c>
      <c r="O43" s="4">
        <f>$O$36</f>
        <v>100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100</v>
      </c>
      <c r="AQ43" t="s">
        <v>108</v>
      </c>
      <c r="AR43" s="4" t="str">
        <f t="shared" si="14"/>
        <v>BXX</v>
      </c>
      <c r="AS43" t="s">
        <v>14</v>
      </c>
      <c r="AT43" s="4" t="str">
        <f>$A$3&amp;".AO_EM"</f>
        <v>BXX_BLS1_LI1.AO_EM</v>
      </c>
      <c r="AU43" t="s">
        <v>14</v>
      </c>
      <c r="AV43" s="4" t="str">
        <f t="shared" si="15"/>
        <v>BXX WW1 Backup Level Zero Setpoint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$A$3&amp;"_SN_HH"</f>
        <v>BXX_BLS1_LI1_SN_HH</v>
      </c>
      <c r="B44" s="4" t="str">
        <f t="shared" si="10"/>
        <v>BXX_BLS1_LI1</v>
      </c>
      <c r="C44" s="4" t="str">
        <f>$C$3 &amp; " HIHI Alarm Delay"</f>
        <v>BXX WW1 Backup Level HIHI Alarm Delay</v>
      </c>
      <c r="D44" s="2">
        <f t="shared" si="11"/>
        <v>37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109</v>
      </c>
      <c r="M44" s="4">
        <f t="shared" si="12"/>
        <v>0</v>
      </c>
      <c r="N44">
        <v>0</v>
      </c>
      <c r="O44">
        <v>999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999</v>
      </c>
      <c r="AQ44" t="s">
        <v>108</v>
      </c>
      <c r="AR44" s="4" t="str">
        <f t="shared" si="14"/>
        <v>BXX</v>
      </c>
      <c r="AS44" t="s">
        <v>14</v>
      </c>
      <c r="AT44" s="4" t="str">
        <f>$A$3&amp;".SN_HH"</f>
        <v>BXX_BLS1_LI1.SN_HH</v>
      </c>
      <c r="AU44" t="s">
        <v>14</v>
      </c>
      <c r="AV44" s="4" t="str">
        <f t="shared" si="15"/>
        <v>BXX WW1 Backup Level HIHI Alarm Delay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4" t="str">
        <f>$A$3&amp;"_SN_LO"</f>
        <v>BXX_BLS1_LI1_SN_LO</v>
      </c>
      <c r="B45" s="4" t="str">
        <f t="shared" si="10"/>
        <v>BXX_BLS1_LI1</v>
      </c>
      <c r="C45" s="4" t="str">
        <f>$C$3 &amp; " Low Alarm Delay"</f>
        <v>BXX WW1 Backup Level Low Alarm Delay</v>
      </c>
      <c r="D45" s="2">
        <f t="shared" si="11"/>
        <v>36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109</v>
      </c>
      <c r="M45" s="4">
        <f t="shared" si="12"/>
        <v>0</v>
      </c>
      <c r="N45">
        <v>0</v>
      </c>
      <c r="O45">
        <v>999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 s="4">
        <f t="shared" si="13"/>
        <v>0</v>
      </c>
      <c r="AP45" s="4">
        <f t="shared" si="13"/>
        <v>999</v>
      </c>
      <c r="AQ45" t="s">
        <v>108</v>
      </c>
      <c r="AR45" s="4" t="str">
        <f t="shared" si="14"/>
        <v>BXX</v>
      </c>
      <c r="AS45" t="s">
        <v>14</v>
      </c>
      <c r="AT45" s="4" t="str">
        <f>$A$3&amp;".SN_LO"</f>
        <v>BXX_BLS1_LI1.SN_LO</v>
      </c>
      <c r="AU45" t="s">
        <v>14</v>
      </c>
      <c r="AV45" s="4" t="str">
        <f t="shared" si="15"/>
        <v>BXX WW1 Backup Level Low Alarm Delay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4" t="str">
        <f>$A$3&amp;"_AO_LL"</f>
        <v>BXX_BLS1_LI1_AO_LL</v>
      </c>
      <c r="B46" s="4" t="str">
        <f t="shared" si="10"/>
        <v>BXX_BLS1_LI1</v>
      </c>
      <c r="C46" s="4" t="str">
        <f>$C$3 &amp; " LOLO Setpoint"</f>
        <v>BXX WW1 Backup Level LOLO Setpoint</v>
      </c>
      <c r="D46" s="2">
        <f t="shared" si="11"/>
        <v>34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s="4" t="str">
        <f t="shared" ref="L46" si="16">$L$36</f>
        <v>%</v>
      </c>
      <c r="M46" s="4">
        <f t="shared" si="12"/>
        <v>0</v>
      </c>
      <c r="N46" s="4">
        <f t="shared" ref="N46" si="17">$N$36</f>
        <v>0</v>
      </c>
      <c r="O46" s="4">
        <f t="shared" ref="O46" si="18">$O$36</f>
        <v>100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 s="4">
        <f t="shared" si="13"/>
        <v>0</v>
      </c>
      <c r="AP46" s="4">
        <f t="shared" si="13"/>
        <v>100</v>
      </c>
      <c r="AQ46" t="s">
        <v>108</v>
      </c>
      <c r="AR46" s="4" t="str">
        <f t="shared" si="14"/>
        <v>BXX</v>
      </c>
      <c r="AS46" t="s">
        <v>14</v>
      </c>
      <c r="AT46" s="4" t="str">
        <f>$A$3&amp;".AO_LL"</f>
        <v>BXX_BLS1_LI1.AO_LL</v>
      </c>
      <c r="AU46" t="s">
        <v>14</v>
      </c>
      <c r="AV46" s="4" t="str">
        <f t="shared" si="15"/>
        <v>BXX WW1 Backup Level LOLO Setpoint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t="s">
        <v>123</v>
      </c>
      <c r="B47" t="s">
        <v>16</v>
      </c>
      <c r="C47" t="s">
        <v>17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51</v>
      </c>
      <c r="L47" t="s">
        <v>53</v>
      </c>
    </row>
    <row r="48" spans="1:64" x14ac:dyDescent="0.25">
      <c r="A48" s="4" t="str">
        <f>$A$3&amp;"_DI_NM"</f>
        <v>BXX_BLS1_LI1_DI_NM</v>
      </c>
      <c r="B48" s="4" t="str">
        <f t="shared" si="10"/>
        <v>BXX_BLS1_LI1</v>
      </c>
      <c r="C48" s="4" t="str">
        <f t="shared" si="10"/>
        <v>BXX_BLS1_LI1</v>
      </c>
      <c r="D48" s="2">
        <f t="shared" si="11"/>
        <v>12</v>
      </c>
      <c r="E48" t="s">
        <v>14</v>
      </c>
      <c r="F48" t="s">
        <v>14</v>
      </c>
      <c r="G48">
        <v>0</v>
      </c>
      <c r="H48" t="s">
        <v>13</v>
      </c>
      <c r="I48">
        <v>24</v>
      </c>
      <c r="J48" t="s">
        <v>116</v>
      </c>
      <c r="K48" t="s">
        <v>116</v>
      </c>
      <c r="L48" t="s">
        <v>13</v>
      </c>
    </row>
    <row r="49" spans="1:16" x14ac:dyDescent="0.25">
      <c r="A49" t="s">
        <v>126</v>
      </c>
      <c r="B49" t="s">
        <v>127</v>
      </c>
      <c r="C49" t="s">
        <v>128</v>
      </c>
      <c r="D49" s="2">
        <f t="shared" si="11"/>
        <v>20</v>
      </c>
      <c r="E49" t="s">
        <v>14</v>
      </c>
      <c r="F49" t="s">
        <v>14</v>
      </c>
      <c r="G49">
        <v>0</v>
      </c>
      <c r="H49" t="s">
        <v>14</v>
      </c>
      <c r="I49">
        <v>131</v>
      </c>
    </row>
    <row r="50" spans="1:16" x14ac:dyDescent="0.25">
      <c r="A50" t="s">
        <v>604</v>
      </c>
      <c r="B50" t="s">
        <v>127</v>
      </c>
      <c r="C50" t="s">
        <v>129</v>
      </c>
      <c r="D50" s="2">
        <f t="shared" si="11"/>
        <v>32</v>
      </c>
      <c r="E50" t="s">
        <v>14</v>
      </c>
      <c r="F50" t="s">
        <v>14</v>
      </c>
      <c r="G50">
        <v>0</v>
      </c>
      <c r="H50" t="s">
        <v>14</v>
      </c>
      <c r="I50">
        <v>131</v>
      </c>
    </row>
    <row r="51" spans="1:16" x14ac:dyDescent="0.25">
      <c r="A51" t="s">
        <v>130</v>
      </c>
      <c r="B51" t="s">
        <v>16</v>
      </c>
      <c r="C51" t="s">
        <v>17</v>
      </c>
      <c r="D51" s="2">
        <f t="shared" si="11"/>
        <v>7</v>
      </c>
      <c r="E51" t="s">
        <v>39</v>
      </c>
      <c r="F51" t="s">
        <v>18</v>
      </c>
      <c r="G51" t="s">
        <v>19</v>
      </c>
      <c r="H51" t="s">
        <v>40</v>
      </c>
      <c r="I51" t="s">
        <v>124</v>
      </c>
      <c r="J51" t="s">
        <v>125</v>
      </c>
      <c r="K51" t="s">
        <v>47</v>
      </c>
      <c r="L51" t="s">
        <v>48</v>
      </c>
      <c r="M51" t="s">
        <v>49</v>
      </c>
      <c r="N51" t="s">
        <v>50</v>
      </c>
      <c r="O51" t="s">
        <v>51</v>
      </c>
      <c r="P51" t="s">
        <v>53</v>
      </c>
    </row>
    <row r="52" spans="1:16" x14ac:dyDescent="0.25">
      <c r="A52" s="4" t="str">
        <f>$A$3&amp;"_PB_HH_RN"</f>
        <v>BXX_BLS1_LI1_PB_HH_RN</v>
      </c>
      <c r="B52" s="4" t="str">
        <f>$A$3</f>
        <v>BXX_BLS1_LI1</v>
      </c>
      <c r="C52" s="4" t="str">
        <f>$C$3 &amp; " HIHI Alarm Disabled Reason"</f>
        <v>BXX WW1 Backup Level HIHI Alarm Disabled Reason</v>
      </c>
      <c r="D52" s="2">
        <f t="shared" si="11"/>
        <v>47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">
        <v>630</v>
      </c>
      <c r="L52" t="s">
        <v>13</v>
      </c>
      <c r="M52" s="4" t="str">
        <f>A52</f>
        <v>BXX_BLS1_LI1_PB_HH_RN</v>
      </c>
      <c r="N52" t="s">
        <v>14</v>
      </c>
      <c r="O52" s="4" t="str">
        <f>C52</f>
        <v>BXX WW1 Backup Level HIHI Alarm Disabled Reason</v>
      </c>
    </row>
    <row r="53" spans="1:16" x14ac:dyDescent="0.25">
      <c r="A53" s="4" t="str">
        <f>$A$3&amp;"_PB_LL_RN"</f>
        <v>BXX_BLS1_LI1_PB_LL_RN</v>
      </c>
      <c r="B53" s="4" t="str">
        <f t="shared" ref="B53:B54" si="19">$A$3</f>
        <v>BXX_BLS1_LI1</v>
      </c>
      <c r="C53" s="4" t="str">
        <f>$C$3 &amp; " LOLO Alarm Disabled Reason"</f>
        <v>BXX WW1 Backup Level LOLO Alarm Disabled Reason</v>
      </c>
      <c r="D53" s="2">
        <f t="shared" si="11"/>
        <v>47</v>
      </c>
      <c r="E53" t="s">
        <v>14</v>
      </c>
      <c r="F53" t="s">
        <v>14</v>
      </c>
      <c r="G53">
        <v>0</v>
      </c>
      <c r="H53" t="s">
        <v>13</v>
      </c>
      <c r="I53">
        <v>131</v>
      </c>
      <c r="J53" t="s">
        <v>131</v>
      </c>
      <c r="K53" s="5" t="str">
        <f>$K$52</f>
        <v>BXXCPU01_1</v>
      </c>
      <c r="L53" t="s">
        <v>13</v>
      </c>
      <c r="M53" s="4" t="str">
        <f t="shared" ref="M53:M54" si="20">A53</f>
        <v>BXX_BLS1_LI1_PB_LL_RN</v>
      </c>
      <c r="N53" t="s">
        <v>14</v>
      </c>
      <c r="O53" s="4" t="str">
        <f t="shared" ref="O53:O54" si="21">C53</f>
        <v>BXX WW1 Backup Level LOLO Alarm Disabled Reason</v>
      </c>
    </row>
    <row r="54" spans="1:16" x14ac:dyDescent="0.25">
      <c r="A54" s="4" t="str">
        <f>$A$3&amp;"_PB_ER_RN"</f>
        <v>BXX_BLS1_LI1_PB_ER_RN</v>
      </c>
      <c r="B54" s="4" t="str">
        <f t="shared" si="19"/>
        <v>BXX_BLS1_LI1</v>
      </c>
      <c r="C54" s="4" t="str">
        <f>$C$3 &amp; " Sig Error Alarm Dis Reason"</f>
        <v>BXX WW1 Backup Level Sig Error Alarm Dis Reason</v>
      </c>
      <c r="D54" s="2">
        <f t="shared" si="11"/>
        <v>47</v>
      </c>
      <c r="E54" t="s">
        <v>14</v>
      </c>
      <c r="F54" t="s">
        <v>14</v>
      </c>
      <c r="G54">
        <v>0</v>
      </c>
      <c r="H54" t="s">
        <v>13</v>
      </c>
      <c r="I54">
        <v>131</v>
      </c>
      <c r="J54" t="s">
        <v>131</v>
      </c>
      <c r="K54" s="5" t="str">
        <f>$K$52</f>
        <v>BXXCPU01_1</v>
      </c>
      <c r="L54" t="s">
        <v>13</v>
      </c>
      <c r="M54" s="4" t="str">
        <f t="shared" si="20"/>
        <v>BXX_BLS1_LI1_PB_ER_RN</v>
      </c>
      <c r="N54" t="s">
        <v>14</v>
      </c>
      <c r="O54" s="4" t="str">
        <f t="shared" si="21"/>
        <v>BXX WW1 Backup Level Sig Error Alarm Dis Reason</v>
      </c>
    </row>
    <row r="55" spans="1:16" x14ac:dyDescent="0.25">
      <c r="A55" t="s">
        <v>560</v>
      </c>
      <c r="B55" t="s">
        <v>16</v>
      </c>
      <c r="C55" t="s">
        <v>17</v>
      </c>
      <c r="D55" s="2">
        <f t="shared" si="11"/>
        <v>7</v>
      </c>
      <c r="E55" t="s">
        <v>18</v>
      </c>
      <c r="F55" t="s">
        <v>19</v>
      </c>
      <c r="G55" t="s">
        <v>40</v>
      </c>
      <c r="H55" t="s">
        <v>53</v>
      </c>
    </row>
    <row r="56" spans="1:16" x14ac:dyDescent="0.25">
      <c r="A56" t="s">
        <v>458</v>
      </c>
      <c r="B56" t="s">
        <v>127</v>
      </c>
      <c r="C56" t="s">
        <v>132</v>
      </c>
      <c r="D56" s="2">
        <f t="shared" si="11"/>
        <v>44</v>
      </c>
      <c r="E56" t="s">
        <v>14</v>
      </c>
      <c r="F56">
        <v>0</v>
      </c>
      <c r="G56" t="s">
        <v>14</v>
      </c>
    </row>
    <row r="57" spans="1:16" x14ac:dyDescent="0.25">
      <c r="A57" t="s">
        <v>459</v>
      </c>
      <c r="B57" t="s">
        <v>127</v>
      </c>
      <c r="C57" t="s">
        <v>133</v>
      </c>
      <c r="D57" s="2">
        <f t="shared" si="11"/>
        <v>41</v>
      </c>
      <c r="E57" t="s">
        <v>14</v>
      </c>
      <c r="F57">
        <v>0</v>
      </c>
      <c r="G57" t="s">
        <v>14</v>
      </c>
    </row>
    <row r="58" spans="1:16" x14ac:dyDescent="0.25">
      <c r="A58" t="s">
        <v>460</v>
      </c>
      <c r="B58" t="s">
        <v>127</v>
      </c>
      <c r="C58" t="s">
        <v>134</v>
      </c>
      <c r="D58" s="2">
        <f t="shared" si="11"/>
        <v>39</v>
      </c>
      <c r="E58" t="s">
        <v>14</v>
      </c>
      <c r="F58">
        <v>0</v>
      </c>
      <c r="G58" t="s">
        <v>14</v>
      </c>
    </row>
    <row r="59" spans="1:16" x14ac:dyDescent="0.25">
      <c r="A59" t="s">
        <v>461</v>
      </c>
      <c r="B59" t="s">
        <v>127</v>
      </c>
      <c r="C59" t="s">
        <v>135</v>
      </c>
      <c r="D59" s="2">
        <f t="shared" si="11"/>
        <v>39</v>
      </c>
      <c r="E59" t="s">
        <v>14</v>
      </c>
      <c r="F59">
        <v>0</v>
      </c>
      <c r="G59" t="s">
        <v>14</v>
      </c>
    </row>
    <row r="60" spans="1:16" x14ac:dyDescent="0.25">
      <c r="A60" t="s">
        <v>462</v>
      </c>
      <c r="B60" t="s">
        <v>127</v>
      </c>
      <c r="C60" t="s">
        <v>136</v>
      </c>
      <c r="D60" s="2">
        <f t="shared" si="11"/>
        <v>41</v>
      </c>
      <c r="E60" t="s">
        <v>14</v>
      </c>
      <c r="F60">
        <v>0</v>
      </c>
      <c r="G60" t="s">
        <v>14</v>
      </c>
    </row>
    <row r="61" spans="1:16" x14ac:dyDescent="0.25">
      <c r="A61" t="s">
        <v>463</v>
      </c>
      <c r="B61" t="s">
        <v>127</v>
      </c>
      <c r="C61" t="s">
        <v>137</v>
      </c>
      <c r="D61" s="2">
        <f t="shared" si="11"/>
        <v>49</v>
      </c>
      <c r="E61" t="s">
        <v>14</v>
      </c>
      <c r="F61">
        <v>0</v>
      </c>
      <c r="G61" t="s">
        <v>14</v>
      </c>
    </row>
    <row r="62" spans="1:16" x14ac:dyDescent="0.25">
      <c r="A62" t="s">
        <v>464</v>
      </c>
      <c r="B62" t="s">
        <v>127</v>
      </c>
      <c r="C62" t="s">
        <v>138</v>
      </c>
      <c r="D62" s="2">
        <f t="shared" si="11"/>
        <v>35</v>
      </c>
      <c r="E62" t="s">
        <v>14</v>
      </c>
      <c r="F62">
        <v>0</v>
      </c>
      <c r="G62" t="s">
        <v>14</v>
      </c>
    </row>
    <row r="63" spans="1:16" x14ac:dyDescent="0.25">
      <c r="A63" t="s">
        <v>465</v>
      </c>
      <c r="B63" t="s">
        <v>127</v>
      </c>
      <c r="C63" t="s">
        <v>139</v>
      </c>
      <c r="D63" s="2">
        <f t="shared" si="11"/>
        <v>39</v>
      </c>
      <c r="E63" t="s">
        <v>14</v>
      </c>
      <c r="F63">
        <v>0</v>
      </c>
      <c r="G63" t="s">
        <v>14</v>
      </c>
    </row>
    <row r="64" spans="1:16" x14ac:dyDescent="0.25">
      <c r="A64" t="s">
        <v>487</v>
      </c>
      <c r="B64" t="s">
        <v>127</v>
      </c>
      <c r="C64" t="s">
        <v>140</v>
      </c>
      <c r="D64" s="2">
        <f t="shared" si="11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426</v>
      </c>
      <c r="B65" t="s">
        <v>127</v>
      </c>
      <c r="C65" t="s">
        <v>141</v>
      </c>
      <c r="D65" s="2">
        <f t="shared" si="11"/>
        <v>31</v>
      </c>
      <c r="E65" t="s">
        <v>14</v>
      </c>
      <c r="F65">
        <v>0</v>
      </c>
      <c r="G65" t="s">
        <v>14</v>
      </c>
    </row>
    <row r="66" spans="1:8" x14ac:dyDescent="0.25">
      <c r="A66" t="s">
        <v>466</v>
      </c>
      <c r="B66" t="s">
        <v>127</v>
      </c>
      <c r="C66" t="s">
        <v>142</v>
      </c>
      <c r="D66" s="2">
        <f t="shared" si="11"/>
        <v>41</v>
      </c>
      <c r="E66" t="s">
        <v>14</v>
      </c>
      <c r="F66">
        <v>0</v>
      </c>
      <c r="G66" t="s">
        <v>14</v>
      </c>
    </row>
    <row r="67" spans="1:8" x14ac:dyDescent="0.25">
      <c r="A67" t="s">
        <v>467</v>
      </c>
      <c r="B67" t="s">
        <v>127</v>
      </c>
      <c r="C67" t="s">
        <v>143</v>
      </c>
      <c r="D67" s="2">
        <f t="shared" si="11"/>
        <v>47</v>
      </c>
      <c r="E67" t="s">
        <v>14</v>
      </c>
      <c r="F67">
        <v>0</v>
      </c>
      <c r="G67" t="s">
        <v>14</v>
      </c>
    </row>
    <row r="68" spans="1:8" x14ac:dyDescent="0.25">
      <c r="A68" t="s">
        <v>468</v>
      </c>
      <c r="B68" t="s">
        <v>127</v>
      </c>
      <c r="C68" t="s">
        <v>144</v>
      </c>
      <c r="D68" s="2">
        <f t="shared" si="11"/>
        <v>30</v>
      </c>
      <c r="E68" t="s">
        <v>14</v>
      </c>
      <c r="F68">
        <v>0</v>
      </c>
      <c r="G68" t="s">
        <v>14</v>
      </c>
    </row>
    <row r="69" spans="1:8" x14ac:dyDescent="0.25">
      <c r="A69" t="s">
        <v>561</v>
      </c>
      <c r="B69" t="s">
        <v>16</v>
      </c>
      <c r="C69" t="s">
        <v>17</v>
      </c>
      <c r="D69" s="2">
        <f t="shared" si="11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493</v>
      </c>
      <c r="B70" t="s">
        <v>127</v>
      </c>
      <c r="C70" t="s">
        <v>146</v>
      </c>
      <c r="D70" s="2">
        <f t="shared" si="11"/>
        <v>49</v>
      </c>
      <c r="E70" t="s">
        <v>14</v>
      </c>
      <c r="F70">
        <v>0</v>
      </c>
      <c r="G70" t="s">
        <v>14</v>
      </c>
    </row>
    <row r="71" spans="1:8" x14ac:dyDescent="0.25">
      <c r="A71" t="s">
        <v>494</v>
      </c>
      <c r="B71" t="s">
        <v>127</v>
      </c>
      <c r="C71" t="s">
        <v>147</v>
      </c>
      <c r="D71" s="2">
        <f t="shared" si="11"/>
        <v>41</v>
      </c>
      <c r="E71" t="s">
        <v>14</v>
      </c>
      <c r="F71">
        <v>0</v>
      </c>
      <c r="G71" t="s">
        <v>14</v>
      </c>
    </row>
    <row r="72" spans="1:8" x14ac:dyDescent="0.25">
      <c r="A72" t="s">
        <v>499</v>
      </c>
      <c r="B72" t="s">
        <v>127</v>
      </c>
      <c r="C72" t="s">
        <v>148</v>
      </c>
      <c r="D72" s="2">
        <f t="shared" si="11"/>
        <v>37</v>
      </c>
      <c r="E72" t="s">
        <v>14</v>
      </c>
      <c r="F72">
        <v>0</v>
      </c>
      <c r="G72" t="s">
        <v>14</v>
      </c>
    </row>
    <row r="73" spans="1:8" x14ac:dyDescent="0.25">
      <c r="A73" t="s">
        <v>495</v>
      </c>
      <c r="B73" t="s">
        <v>127</v>
      </c>
      <c r="C73" t="s">
        <v>149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496</v>
      </c>
      <c r="B74" t="s">
        <v>127</v>
      </c>
      <c r="C74" t="s">
        <v>150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497</v>
      </c>
      <c r="B75" t="s">
        <v>127</v>
      </c>
      <c r="C75" t="s">
        <v>151</v>
      </c>
      <c r="D75" s="2">
        <f t="shared" si="11"/>
        <v>28</v>
      </c>
      <c r="E75" t="s">
        <v>14</v>
      </c>
      <c r="F75">
        <v>0</v>
      </c>
      <c r="G75" t="s">
        <v>14</v>
      </c>
    </row>
    <row r="76" spans="1:8" x14ac:dyDescent="0.25">
      <c r="A76" t="s">
        <v>498</v>
      </c>
      <c r="B76" t="s">
        <v>127</v>
      </c>
      <c r="C76" t="s">
        <v>152</v>
      </c>
      <c r="D76" s="2">
        <f t="shared" si="11"/>
        <v>26</v>
      </c>
      <c r="E76" t="s">
        <v>14</v>
      </c>
      <c r="F76">
        <v>0</v>
      </c>
      <c r="G76" t="s">
        <v>14</v>
      </c>
    </row>
    <row r="77" spans="1:8" x14ac:dyDescent="0.25">
      <c r="A77" t="s">
        <v>595</v>
      </c>
      <c r="B77" t="s">
        <v>127</v>
      </c>
      <c r="C77" t="s">
        <v>153</v>
      </c>
      <c r="D77" s="2">
        <f t="shared" si="11"/>
        <v>39</v>
      </c>
      <c r="E77" t="s">
        <v>14</v>
      </c>
      <c r="F77">
        <v>0</v>
      </c>
      <c r="G77" t="s">
        <v>14</v>
      </c>
    </row>
    <row r="78" spans="1:8" x14ac:dyDescent="0.25">
      <c r="A78" t="s">
        <v>596</v>
      </c>
      <c r="B78" t="s">
        <v>127</v>
      </c>
      <c r="C78" t="s">
        <v>154</v>
      </c>
      <c r="D78" s="2">
        <f t="shared" si="11"/>
        <v>37</v>
      </c>
      <c r="E78" t="s">
        <v>14</v>
      </c>
      <c r="F78">
        <v>0</v>
      </c>
      <c r="G78" t="s">
        <v>14</v>
      </c>
    </row>
    <row r="79" spans="1:8" x14ac:dyDescent="0.25">
      <c r="A79" t="s">
        <v>597</v>
      </c>
      <c r="B79" t="s">
        <v>127</v>
      </c>
      <c r="C79" t="s">
        <v>155</v>
      </c>
      <c r="D79" s="2">
        <f t="shared" si="11"/>
        <v>37</v>
      </c>
      <c r="E79" t="s">
        <v>14</v>
      </c>
      <c r="F79">
        <v>0</v>
      </c>
      <c r="G79" t="s">
        <v>14</v>
      </c>
    </row>
    <row r="80" spans="1:8" x14ac:dyDescent="0.25">
      <c r="A80" t="s">
        <v>598</v>
      </c>
      <c r="B80" t="s">
        <v>127</v>
      </c>
      <c r="C80" t="s">
        <v>156</v>
      </c>
      <c r="D80" s="2">
        <f t="shared" si="11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599</v>
      </c>
      <c r="B81" t="s">
        <v>127</v>
      </c>
      <c r="C81" t="s">
        <v>157</v>
      </c>
      <c r="D81" s="2">
        <f t="shared" si="11"/>
        <v>44</v>
      </c>
      <c r="E81" t="s">
        <v>14</v>
      </c>
      <c r="F81">
        <v>0</v>
      </c>
      <c r="G81" t="s">
        <v>14</v>
      </c>
    </row>
    <row r="82" spans="1:8" x14ac:dyDescent="0.25">
      <c r="A82" t="s">
        <v>600</v>
      </c>
      <c r="B82" t="s">
        <v>127</v>
      </c>
      <c r="C82" t="s">
        <v>158</v>
      </c>
      <c r="D82" s="2">
        <f t="shared" si="11"/>
        <v>44</v>
      </c>
      <c r="E82" t="s">
        <v>14</v>
      </c>
      <c r="F82">
        <v>0</v>
      </c>
      <c r="G82" t="s">
        <v>14</v>
      </c>
    </row>
    <row r="83" spans="1:8" x14ac:dyDescent="0.25">
      <c r="A83" t="s">
        <v>601</v>
      </c>
      <c r="B83" t="s">
        <v>127</v>
      </c>
      <c r="C83" t="s">
        <v>159</v>
      </c>
      <c r="D83" s="2">
        <f t="shared" si="11"/>
        <v>38</v>
      </c>
      <c r="E83" t="s">
        <v>14</v>
      </c>
      <c r="F83">
        <v>0</v>
      </c>
      <c r="G83" t="s">
        <v>14</v>
      </c>
    </row>
    <row r="84" spans="1:8" x14ac:dyDescent="0.25">
      <c r="A84" t="s">
        <v>602</v>
      </c>
      <c r="B84" t="s">
        <v>127</v>
      </c>
      <c r="C84" t="s">
        <v>160</v>
      </c>
      <c r="D84" s="2">
        <f t="shared" si="11"/>
        <v>37</v>
      </c>
      <c r="E84" t="s">
        <v>14</v>
      </c>
      <c r="F84">
        <v>0</v>
      </c>
      <c r="G84" t="s">
        <v>14</v>
      </c>
    </row>
    <row r="85" spans="1:8" x14ac:dyDescent="0.25">
      <c r="A85" t="s">
        <v>500</v>
      </c>
      <c r="B85" t="s">
        <v>127</v>
      </c>
      <c r="C85" t="s">
        <v>161</v>
      </c>
      <c r="D85" s="2">
        <f t="shared" si="11"/>
        <v>44</v>
      </c>
      <c r="E85" t="s">
        <v>14</v>
      </c>
      <c r="F85">
        <v>0</v>
      </c>
      <c r="G85" t="s">
        <v>14</v>
      </c>
    </row>
    <row r="86" spans="1:8" x14ac:dyDescent="0.25">
      <c r="A86" t="s">
        <v>559</v>
      </c>
      <c r="B86" t="s">
        <v>16</v>
      </c>
      <c r="C86" t="s">
        <v>17</v>
      </c>
      <c r="D86" s="2">
        <f t="shared" si="11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8" x14ac:dyDescent="0.25">
      <c r="A87" t="s">
        <v>163</v>
      </c>
      <c r="B87" t="s">
        <v>127</v>
      </c>
      <c r="C87" t="s">
        <v>164</v>
      </c>
      <c r="D87" s="2">
        <f t="shared" si="11"/>
        <v>38</v>
      </c>
      <c r="E87" t="s">
        <v>14</v>
      </c>
      <c r="F87">
        <v>0</v>
      </c>
      <c r="G87" t="s">
        <v>14</v>
      </c>
    </row>
    <row r="88" spans="1:8" x14ac:dyDescent="0.25">
      <c r="A88" t="s">
        <v>165</v>
      </c>
      <c r="B88" t="s">
        <v>16</v>
      </c>
      <c r="C88" t="s">
        <v>17</v>
      </c>
      <c r="D88" s="2">
        <f t="shared" si="11"/>
        <v>7</v>
      </c>
      <c r="E88" t="s">
        <v>53</v>
      </c>
    </row>
    <row r="89" spans="1:8" x14ac:dyDescent="0.25">
      <c r="A89" t="s">
        <v>166</v>
      </c>
      <c r="B89" t="s">
        <v>127</v>
      </c>
      <c r="C89" t="s">
        <v>167</v>
      </c>
      <c r="D89" s="2">
        <f t="shared" si="11"/>
        <v>29</v>
      </c>
    </row>
    <row r="90" spans="1:8" x14ac:dyDescent="0.25">
      <c r="D90" s="2">
        <f t="shared" si="11"/>
        <v>0</v>
      </c>
    </row>
  </sheetData>
  <conditionalFormatting sqref="D3:D4 D6:D27 D34:D46 D53:D90">
    <cfRule type="cellIs" dxfId="189" priority="4" operator="greaterThan">
      <formula>49</formula>
    </cfRule>
  </conditionalFormatting>
  <conditionalFormatting sqref="D30:D32">
    <cfRule type="cellIs" dxfId="188" priority="3" operator="greaterThan">
      <formula>49</formula>
    </cfRule>
  </conditionalFormatting>
  <conditionalFormatting sqref="D48:D52">
    <cfRule type="cellIs" dxfId="187" priority="2" operator="greaterThan">
      <formula>49</formula>
    </cfRule>
  </conditionalFormatting>
  <conditionalFormatting sqref="D28">
    <cfRule type="cellIs" dxfId="186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view="pageBreakPreview" topLeftCell="A29" zoomScale="80" zoomScaleNormal="100" zoomScaleSheetLayoutView="80" workbookViewId="0">
      <selection activeCell="K52" sqref="K52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428</v>
      </c>
      <c r="B3" s="4" t="str">
        <f>BXXPLC1!A5</f>
        <v>BXX</v>
      </c>
      <c r="C3" s="3" t="s">
        <v>261</v>
      </c>
      <c r="D3" s="2">
        <f>LEN(C3)</f>
        <v>20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BXX_BLS2_LI1_DI_AD</v>
      </c>
      <c r="B6" s="4" t="str">
        <f>$A$4</f>
        <v>BXX_DSAB</v>
      </c>
      <c r="C6" s="4" t="str">
        <f>$C$3 &amp; " Disabled Analog Alarm"</f>
        <v>BXX WW2 Backup Level Disabled Analog Alarm</v>
      </c>
      <c r="D6" s="2">
        <f>LEN(C6)</f>
        <v>42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BXX_BLS2_LI1.DI_AD</v>
      </c>
      <c r="R6" t="s">
        <v>14</v>
      </c>
      <c r="S6" s="4" t="str">
        <f>C6</f>
        <v>BXX WW2 Backup Level Disabled Analog Alarm</v>
      </c>
      <c r="T6">
        <v>0</v>
      </c>
      <c r="U6">
        <v>0</v>
      </c>
    </row>
    <row r="7" spans="1:23" x14ac:dyDescent="0.25">
      <c r="A7" s="4" t="str">
        <f>$A$3&amp;"_DI_SC"</f>
        <v>BXX_BLS2_LI1_DI_SC</v>
      </c>
      <c r="B7" s="4" t="str">
        <f>$A$3</f>
        <v>BXX_BLS2_LI1</v>
      </c>
      <c r="C7" s="4" t="str">
        <f>$C$3 &amp; " Scan Status"</f>
        <v>BXX WW2 Backup Level Scan Status</v>
      </c>
      <c r="D7" s="2">
        <f t="shared" ref="D7:D28" si="0">LEN(C7)</f>
        <v>32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BXX_BLS2_LI1.DI_SC</v>
      </c>
      <c r="R7" t="s">
        <v>14</v>
      </c>
      <c r="S7" s="4" t="str">
        <f t="shared" ref="S7:S28" si="1">C7</f>
        <v>BXX WW2 Backup Level Scan Status</v>
      </c>
      <c r="T7">
        <v>0</v>
      </c>
      <c r="U7">
        <v>0</v>
      </c>
    </row>
    <row r="8" spans="1:23" x14ac:dyDescent="0.25">
      <c r="A8" s="4" t="str">
        <f>$A$3&amp;"_DA_LL"</f>
        <v>BXX_BLS2_LI1_DA_LL</v>
      </c>
      <c r="B8" s="4" t="str">
        <f t="shared" ref="B8:B28" si="2">$A$3</f>
        <v>BXX_BLS2_LI1</v>
      </c>
      <c r="C8" s="4" t="str">
        <f>$C$3 &amp; " LOLO Alarm"</f>
        <v>BXX WW2 Backup Level LOLO Alarm</v>
      </c>
      <c r="D8" s="2">
        <f t="shared" si="0"/>
        <v>31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BXX_BLS2_LI1.DA_LL</v>
      </c>
      <c r="R8" t="s">
        <v>14</v>
      </c>
      <c r="S8" s="4" t="str">
        <f t="shared" si="1"/>
        <v>BXX WW2 Backup Level LOLO Alarm</v>
      </c>
      <c r="T8">
        <v>0</v>
      </c>
      <c r="U8">
        <v>0</v>
      </c>
    </row>
    <row r="9" spans="1:23" x14ac:dyDescent="0.25">
      <c r="A9" s="4" t="str">
        <f>$A$3&amp;"_DA_ER"</f>
        <v>BXX_BLS2_LI1_DA_ER</v>
      </c>
      <c r="B9" s="4" t="str">
        <f t="shared" si="2"/>
        <v>BXX_BLS2_LI1</v>
      </c>
      <c r="C9" s="4" t="str">
        <f>$C$3 &amp; " Signal Error Alarm"</f>
        <v>BXX WW2 Backup Level Signal Error Alarm</v>
      </c>
      <c r="D9" s="2">
        <f t="shared" si="0"/>
        <v>39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BXX_BLS2_LI1.DA_ER</v>
      </c>
      <c r="R9" t="s">
        <v>14</v>
      </c>
      <c r="S9" s="4" t="str">
        <f t="shared" si="1"/>
        <v>BXX WW2 Backup Level Signal Error Alarm</v>
      </c>
      <c r="T9">
        <v>0</v>
      </c>
      <c r="U9">
        <v>0</v>
      </c>
    </row>
    <row r="10" spans="1:23" x14ac:dyDescent="0.25">
      <c r="A10" s="4" t="str">
        <f>$A$3&amp;"_PB_SM"</f>
        <v>BXX_BLS2_LI1_PB_SM</v>
      </c>
      <c r="B10" s="4" t="str">
        <f t="shared" si="2"/>
        <v>BXX_BLS2_LI1</v>
      </c>
      <c r="C10" s="4" t="str">
        <f>$C$3 &amp; " Alarm Test"</f>
        <v>BXX WW2 Backup Level Alarm Test</v>
      </c>
      <c r="D10" s="2">
        <f t="shared" si="0"/>
        <v>31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BXX_BLS2_LI1.PB_SM</v>
      </c>
      <c r="R10" t="s">
        <v>14</v>
      </c>
      <c r="S10" s="4" t="str">
        <f t="shared" si="1"/>
        <v>BXX WW2 Backup Level Alarm Test</v>
      </c>
      <c r="T10">
        <v>0</v>
      </c>
      <c r="U10">
        <v>0</v>
      </c>
    </row>
    <row r="11" spans="1:23" x14ac:dyDescent="0.25">
      <c r="A11" s="4" t="str">
        <f>$A$3&amp;"_PB_SV"</f>
        <v>BXX_BLS2_LI1_PB_SV</v>
      </c>
      <c r="B11" s="4" t="str">
        <f t="shared" si="2"/>
        <v>BXX_BLS2_LI1</v>
      </c>
      <c r="C11" s="4" t="str">
        <f>$C$3 &amp; " Override Enable"</f>
        <v>BXX WW2 Backup Level Override Enable</v>
      </c>
      <c r="D11" s="2">
        <f t="shared" si="0"/>
        <v>36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BXX_BLS2_LI1.PB_SV</v>
      </c>
      <c r="R11" t="s">
        <v>14</v>
      </c>
      <c r="S11" s="4" t="str">
        <f t="shared" si="1"/>
        <v>BXX WW2 Backup Level Override Enable</v>
      </c>
      <c r="T11">
        <v>0</v>
      </c>
      <c r="U11">
        <v>0</v>
      </c>
    </row>
    <row r="12" spans="1:23" x14ac:dyDescent="0.25">
      <c r="A12" s="4" t="str">
        <f>$A$3&amp;"_PB_AE"</f>
        <v>BXX_BLS2_LI1_PB_AE</v>
      </c>
      <c r="B12" s="4" t="str">
        <f t="shared" si="2"/>
        <v>BXX_BLS2_LI1</v>
      </c>
      <c r="C12" s="4" t="str">
        <f>$C$3 &amp; " Alarm Enable"</f>
        <v>BXX WW2 Backup Level Alarm Enable</v>
      </c>
      <c r="D12" s="2">
        <f t="shared" si="0"/>
        <v>33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BXX_BLS2_LI1.PB_AE.RE</v>
      </c>
      <c r="R12" t="s">
        <v>14</v>
      </c>
      <c r="S12" s="4" t="str">
        <f t="shared" si="1"/>
        <v>BXX WW2 Backup Level Alarm Enable</v>
      </c>
      <c r="T12">
        <v>0</v>
      </c>
      <c r="U12">
        <v>0</v>
      </c>
    </row>
    <row r="13" spans="1:23" x14ac:dyDescent="0.25">
      <c r="A13" s="4" t="str">
        <f>$A$3&amp;"_PB_HI"</f>
        <v>BXX_BLS2_LI1_PB_HI</v>
      </c>
      <c r="B13" s="4" t="str">
        <f t="shared" si="2"/>
        <v>BXX_BLS2_LI1</v>
      </c>
      <c r="C13" s="4" t="str">
        <f>$C$3 &amp; " High Alarm Enable"</f>
        <v>BXX WW2 Backup Level High Alarm Enable</v>
      </c>
      <c r="D13" s="2">
        <f t="shared" si="0"/>
        <v>38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BXX_BLS2_LI1.PB_HI.RE</v>
      </c>
      <c r="R13" t="s">
        <v>14</v>
      </c>
      <c r="S13" s="4" t="str">
        <f t="shared" si="1"/>
        <v>BXX WW2 Backup Level High Alarm Enable</v>
      </c>
      <c r="T13">
        <v>0</v>
      </c>
      <c r="U13">
        <v>0</v>
      </c>
    </row>
    <row r="14" spans="1:23" x14ac:dyDescent="0.25">
      <c r="A14" s="4" t="str">
        <f>$A$3&amp;"_PB_LO"</f>
        <v>BXX_BLS2_LI1_PB_LO</v>
      </c>
      <c r="B14" s="4" t="str">
        <f t="shared" si="2"/>
        <v>BXX_BLS2_LI1</v>
      </c>
      <c r="C14" s="4" t="str">
        <f>$C$3 &amp; " Low Alarm Enable"</f>
        <v>BXX WW2 Backup Level Low Alarm Enable</v>
      </c>
      <c r="D14" s="2">
        <f t="shared" si="0"/>
        <v>37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BXX_BLS2_LI1.PB_LO.RE</v>
      </c>
      <c r="R14" t="s">
        <v>14</v>
      </c>
      <c r="S14" s="4" t="str">
        <f t="shared" si="1"/>
        <v>BXX WW2 Backup Level Low Alarm Enable</v>
      </c>
      <c r="T14">
        <v>0</v>
      </c>
      <c r="U14">
        <v>0</v>
      </c>
    </row>
    <row r="15" spans="1:23" x14ac:dyDescent="0.25">
      <c r="A15" s="4" t="str">
        <f>$A$3&amp;"_PB_LL"</f>
        <v>BXX_BLS2_LI1_PB_LL</v>
      </c>
      <c r="B15" s="4" t="str">
        <f t="shared" si="2"/>
        <v>BXX_BLS2_LI1</v>
      </c>
      <c r="C15" s="4" t="str">
        <f>$C$3 &amp; " LOLO Alarm Enable"</f>
        <v>BXX WW2 Backup Level LOLO Alarm Enable</v>
      </c>
      <c r="D15" s="2">
        <f t="shared" si="0"/>
        <v>38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BXX_BLS2_LI1.PB_LL.RE</v>
      </c>
      <c r="R15" t="s">
        <v>14</v>
      </c>
      <c r="S15" s="4" t="str">
        <f t="shared" si="1"/>
        <v>BXX WW2 Backup Level LOLO Alarm Enable</v>
      </c>
      <c r="T15">
        <v>0</v>
      </c>
      <c r="U15">
        <v>0</v>
      </c>
    </row>
    <row r="16" spans="1:23" x14ac:dyDescent="0.25">
      <c r="A16" s="4" t="str">
        <f>$A$3&amp;"_PB_ER"</f>
        <v>BXX_BLS2_LI1_PB_ER</v>
      </c>
      <c r="B16" s="4" t="str">
        <f t="shared" si="2"/>
        <v>BXX_BLS2_LI1</v>
      </c>
      <c r="C16" s="4" t="str">
        <f>$C$3 &amp; " Signal Error Alarm En"</f>
        <v>BXX WW2 Backup Level Signal Error Alarm En</v>
      </c>
      <c r="D16" s="2">
        <f t="shared" si="0"/>
        <v>42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BXX_BLS2_LI1.PB_ER.RE</v>
      </c>
      <c r="R16" t="s">
        <v>14</v>
      </c>
      <c r="S16" s="4" t="str">
        <f t="shared" si="1"/>
        <v>BXX WW2 Backup Level Signal Error Alarm En</v>
      </c>
      <c r="T16">
        <v>0</v>
      </c>
      <c r="U16">
        <v>0</v>
      </c>
    </row>
    <row r="17" spans="1:64" x14ac:dyDescent="0.25">
      <c r="A17" s="4" t="str">
        <f>$A$3&amp;"_PB_SC"</f>
        <v>BXX_BLS2_LI1_PB_SC</v>
      </c>
      <c r="B17" s="4" t="str">
        <f t="shared" si="2"/>
        <v>BXX_BLS2_LI1</v>
      </c>
      <c r="C17" s="4" t="str">
        <f>$C$3 &amp; " Scan Enable"</f>
        <v>BXX WW2 Backup Level Scan Enable</v>
      </c>
      <c r="D17" s="2">
        <f t="shared" si="0"/>
        <v>32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BXX_BLS2_LI1.PB_SC</v>
      </c>
      <c r="R17" t="s">
        <v>14</v>
      </c>
      <c r="S17" s="4" t="str">
        <f t="shared" si="1"/>
        <v>BXX WW2 Backup Level Scan Enable</v>
      </c>
      <c r="T17">
        <v>0</v>
      </c>
      <c r="U17">
        <v>0</v>
      </c>
    </row>
    <row r="18" spans="1:64" x14ac:dyDescent="0.25">
      <c r="A18" s="4" t="str">
        <f>$A$3&amp;"_DA_HH"</f>
        <v>BXX_BLS2_LI1_DA_HH</v>
      </c>
      <c r="B18" s="4" t="str">
        <f t="shared" si="2"/>
        <v>BXX_BLS2_LI1</v>
      </c>
      <c r="C18" s="4" t="str">
        <f>$C$3 &amp; " HIHI Alarm"</f>
        <v>BXX WW2 Backup Level HIHI Alarm</v>
      </c>
      <c r="D18" s="2">
        <f t="shared" si="0"/>
        <v>31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BXX_BLS2_LI1.DA_HH</v>
      </c>
      <c r="R18" t="s">
        <v>14</v>
      </c>
      <c r="S18" s="4" t="str">
        <f t="shared" si="1"/>
        <v>BXX WW2 Backup Level HIHI Alarm</v>
      </c>
      <c r="T18">
        <v>0</v>
      </c>
      <c r="U18">
        <v>0</v>
      </c>
    </row>
    <row r="19" spans="1:64" x14ac:dyDescent="0.25">
      <c r="A19" s="4" t="str">
        <f>$A$3&amp;"_DA_HI"</f>
        <v>BXX_BLS2_LI1_DA_HI</v>
      </c>
      <c r="B19" s="4" t="str">
        <f t="shared" si="2"/>
        <v>BXX_BLS2_LI1</v>
      </c>
      <c r="C19" s="4" t="str">
        <f>$C$3 &amp; " HI Alarm"</f>
        <v>BXX WW2 Backup Level HI Alarm</v>
      </c>
      <c r="D19" s="2">
        <f t="shared" si="0"/>
        <v>29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BXX_BLS2_LI1.DA_HI</v>
      </c>
      <c r="R19" t="s">
        <v>14</v>
      </c>
      <c r="S19" s="4" t="str">
        <f t="shared" si="1"/>
        <v>BXX WW2 Backup Level HI Alarm</v>
      </c>
      <c r="T19">
        <v>0</v>
      </c>
      <c r="U19">
        <v>0</v>
      </c>
    </row>
    <row r="20" spans="1:64" x14ac:dyDescent="0.25">
      <c r="A20" s="4" t="str">
        <f>$A$3&amp;"_PB_HH"</f>
        <v>BXX_BLS2_LI1_PB_HH</v>
      </c>
      <c r="B20" s="4" t="str">
        <f t="shared" si="2"/>
        <v>BXX_BLS2_LI1</v>
      </c>
      <c r="C20" s="4" t="str">
        <f>$C$3 &amp; " HIHI Alarm Enable"</f>
        <v>BXX WW2 Backup Level HIHI Alarm Enable</v>
      </c>
      <c r="D20" s="2">
        <f t="shared" si="0"/>
        <v>38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BXX_BLS2_LI1.PB_HH.RE</v>
      </c>
      <c r="R20" t="s">
        <v>14</v>
      </c>
      <c r="S20" s="4" t="str">
        <f t="shared" si="1"/>
        <v>BXX WW2 Backup Level HIHI Alarm Enable</v>
      </c>
      <c r="T20">
        <v>0</v>
      </c>
      <c r="U20">
        <v>0</v>
      </c>
    </row>
    <row r="21" spans="1:64" x14ac:dyDescent="0.25">
      <c r="A21" s="4" t="str">
        <f>$A$3&amp;"_PB_AR"</f>
        <v>BXX_BLS2_LI1_PB_AR</v>
      </c>
      <c r="B21" s="4" t="str">
        <f t="shared" si="2"/>
        <v>BXX_BLS2_LI1</v>
      </c>
      <c r="C21" s="4" t="str">
        <f>$C$3 &amp; " Alarm Reset"</f>
        <v>BXX WW2 Backup Level Alarm Reset</v>
      </c>
      <c r="D21" s="2">
        <f t="shared" si="0"/>
        <v>32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BXX_BLS2_LI1.PB_AR</v>
      </c>
      <c r="R21" t="s">
        <v>14</v>
      </c>
      <c r="S21" s="4" t="str">
        <f t="shared" si="1"/>
        <v>BXX WW2 Backup Level Alarm Reset</v>
      </c>
      <c r="T21">
        <v>0</v>
      </c>
      <c r="U21">
        <v>0</v>
      </c>
    </row>
    <row r="22" spans="1:64" x14ac:dyDescent="0.25">
      <c r="A22" s="4" t="str">
        <f>$A$3&amp;"_DA_LO"</f>
        <v>BXX_BLS2_LI1_DA_LO</v>
      </c>
      <c r="B22" s="4" t="str">
        <f t="shared" si="2"/>
        <v>BXX_BLS2_LI1</v>
      </c>
      <c r="C22" s="4" t="str">
        <f>$C$3 &amp; " LO Alarm"</f>
        <v>BXX WW2 Backup Level LO Alarm</v>
      </c>
      <c r="D22" s="2">
        <f t="shared" si="0"/>
        <v>29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BXX_BLS2_LI1.DA_LO</v>
      </c>
      <c r="R22" t="s">
        <v>14</v>
      </c>
      <c r="S22" s="4" t="str">
        <f t="shared" si="1"/>
        <v>BXX WW2 Backup Level LO Alarm</v>
      </c>
      <c r="T22">
        <v>0</v>
      </c>
      <c r="U22">
        <v>0</v>
      </c>
    </row>
    <row r="23" spans="1:64" x14ac:dyDescent="0.25">
      <c r="A23" s="4" t="str">
        <f>$A$3&amp;"_PB_LL_DE"</f>
        <v>BXX_BLS2_LI1_PB_LL_DE</v>
      </c>
      <c r="B23" s="4" t="str">
        <f t="shared" si="2"/>
        <v>BXX_BLS2_LI1</v>
      </c>
      <c r="C23" s="4" t="str">
        <f>$C$3 &amp; " LOLO Alarm Dialer Enable"</f>
        <v>BXX WW2 Backup Level LOLO Alarm Dialer Enable</v>
      </c>
      <c r="D23" s="2">
        <f t="shared" si="0"/>
        <v>45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BXX_BLS2_LI1.PB_LL.DE</v>
      </c>
      <c r="R23" t="s">
        <v>14</v>
      </c>
      <c r="S23" s="4" t="str">
        <f t="shared" si="1"/>
        <v>BXX WW2 Backup Level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BXX_BLS2_LI1_PB_ER_DE</v>
      </c>
      <c r="B24" s="4" t="str">
        <f t="shared" si="2"/>
        <v>BXX_BLS2_LI1</v>
      </c>
      <c r="C24" s="4" t="str">
        <f>$C$3 &amp; " Sig Error Alarm Dialer En"</f>
        <v>BXX WW2 Backup Level Sig Error Alarm Dialer En</v>
      </c>
      <c r="D24" s="2">
        <f t="shared" si="0"/>
        <v>46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BXX_BLS2_LI1.PB_ER.DE</v>
      </c>
      <c r="R24" t="s">
        <v>14</v>
      </c>
      <c r="S24" s="4" t="str">
        <f t="shared" si="1"/>
        <v>BXX WW2 Backup Level Sig Error Alarm Dialer En</v>
      </c>
      <c r="T24">
        <v>0</v>
      </c>
      <c r="U24">
        <v>0</v>
      </c>
    </row>
    <row r="25" spans="1:64" x14ac:dyDescent="0.25">
      <c r="A25" s="4" t="str">
        <f>$A$3&amp;"_PB_HH_DE"</f>
        <v>BXX_BLS2_LI1_PB_HH_DE</v>
      </c>
      <c r="B25" s="4" t="str">
        <f t="shared" si="2"/>
        <v>BXX_BLS2_LI1</v>
      </c>
      <c r="C25" s="4" t="str">
        <f>$C$3 &amp; " HIHI Alarm Dialer Enable"</f>
        <v>BXX WW2 Backup Level HIHI Alarm Dialer Enable</v>
      </c>
      <c r="D25" s="2">
        <f t="shared" si="0"/>
        <v>45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BXX_BLS2_LI1.PB_HH.DE</v>
      </c>
      <c r="R25" t="s">
        <v>14</v>
      </c>
      <c r="S25" s="4" t="str">
        <f t="shared" si="1"/>
        <v>BXX WW2 Backup Level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BXX_BLS2_LI1_PB_LL_SR</v>
      </c>
      <c r="B26" s="4" t="str">
        <f t="shared" si="2"/>
        <v>BXX_BLS2_LI1</v>
      </c>
      <c r="C26" s="4" t="str">
        <f>$C$3 &amp; " LOLO Alarm Sup Enable"</f>
        <v>BXX WW2 Backup Level LOLO Alarm Sup Enable</v>
      </c>
      <c r="D26" s="2">
        <f t="shared" si="0"/>
        <v>42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BXX_BLS2_LI1.PB_LL.SR</v>
      </c>
      <c r="R26" t="s">
        <v>14</v>
      </c>
      <c r="S26" s="4" t="str">
        <f t="shared" si="1"/>
        <v>BXX WW2 Backup Level LOLO Alarm Sup Enable</v>
      </c>
      <c r="T26">
        <v>0</v>
      </c>
      <c r="U26">
        <v>0</v>
      </c>
    </row>
    <row r="27" spans="1:64" x14ac:dyDescent="0.25">
      <c r="A27" s="4" t="str">
        <f>$A$3&amp;"_PB_ER_SR"</f>
        <v>BXX_BLS2_LI1_PB_ER_SR</v>
      </c>
      <c r="B27" s="4" t="str">
        <f t="shared" si="2"/>
        <v>BXX_BLS2_LI1</v>
      </c>
      <c r="C27" s="4" t="str">
        <f>$C$3 &amp; " Signal Error Alarm Sup En"</f>
        <v>BXX WW2 Backup Level Signal Error Alarm Sup En</v>
      </c>
      <c r="D27" s="2">
        <f t="shared" si="0"/>
        <v>46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BXX_BLS2_LI1.PB_ER.SR</v>
      </c>
      <c r="R27" t="s">
        <v>14</v>
      </c>
      <c r="S27" s="4" t="str">
        <f t="shared" si="1"/>
        <v>BXX WW2 Backup Level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BXX_BLS2_LI1_PB_HH_SR</v>
      </c>
      <c r="B28" s="4" t="str">
        <f t="shared" si="2"/>
        <v>BXX_BLS2_LI1</v>
      </c>
      <c r="C28" s="4" t="str">
        <f>$C$3 &amp; " HIHI Alarm Sup Enable"</f>
        <v>BXX WW2 Backup Level HIHI Alarm Sup Enable</v>
      </c>
      <c r="D28" s="2">
        <f t="shared" si="0"/>
        <v>42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BXX_BLS2_LI1.PB_HH.SR</v>
      </c>
      <c r="R28" t="s">
        <v>14</v>
      </c>
      <c r="S28" s="4" t="str">
        <f t="shared" si="1"/>
        <v>BXX WW2 Backup Level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BXX_BLS2_LI1_AI_VI</v>
      </c>
      <c r="B30" s="4" t="str">
        <f t="shared" ref="B30:B32" si="4">$A$3</f>
        <v>BXX_BLS2_LI1</v>
      </c>
      <c r="C30" s="4" t="str">
        <f>$C$3 &amp; " Number of Vis Eng Values"</f>
        <v>BXX WW2 Backup Level Number of Vis Eng Values</v>
      </c>
      <c r="D30" s="2">
        <f t="shared" ref="D30:D32" si="5">LEN(C30)</f>
        <v>45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5">
        <v>2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BXX_BLS2_LI1.AI_VI</v>
      </c>
      <c r="AU30" t="s">
        <v>14</v>
      </c>
      <c r="AV30" s="4" t="str">
        <f>C30</f>
        <v>BXX WW2 Backup Level Number of Vis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BXX_BLS2_LI1_AI_DC</v>
      </c>
      <c r="B31" s="4" t="str">
        <f t="shared" si="4"/>
        <v>BXX_BLS2_LI1</v>
      </c>
      <c r="C31" s="4" t="str">
        <f>$C$3 &amp; " Precision"</f>
        <v>BXX WW2 Backup Level Precision</v>
      </c>
      <c r="D31" s="2">
        <f t="shared" si="5"/>
        <v>30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:M32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2" si="7">N31</f>
        <v>0</v>
      </c>
      <c r="AP31" s="4">
        <f t="shared" si="7"/>
        <v>3</v>
      </c>
      <c r="AQ31" t="s">
        <v>108</v>
      </c>
      <c r="AR31" s="4" t="str">
        <f t="shared" ref="AR31:AR32" si="8">$O$6</f>
        <v>BXX</v>
      </c>
      <c r="AS31" t="s">
        <v>14</v>
      </c>
      <c r="AT31" s="4" t="str">
        <f>$A$3&amp;".AI_DC"</f>
        <v>BXX_BLS2_LI1.AI_DC</v>
      </c>
      <c r="AU31" t="s">
        <v>14</v>
      </c>
      <c r="AV31" s="4" t="str">
        <f t="shared" ref="AV31:AV32" si="9">C31</f>
        <v>BXX WW2 Backup Level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8" t="str">
        <f>$A$3&amp;"_E2_DC"</f>
        <v>BXX_BLS2_LI1_E2_DC</v>
      </c>
      <c r="B32" s="4" t="str">
        <f t="shared" si="4"/>
        <v>BXX_BLS2_LI1</v>
      </c>
      <c r="C32" s="4" t="str">
        <f>$C$3 &amp; " Eng Value 2 Precision"</f>
        <v>BXX WW2 Backup Level Eng Value 2 Precision</v>
      </c>
      <c r="D32" s="2">
        <f t="shared" si="5"/>
        <v>42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M32" s="4">
        <f t="shared" si="6"/>
        <v>0</v>
      </c>
      <c r="N32">
        <v>0</v>
      </c>
      <c r="O32">
        <v>3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 s="4">
        <f t="shared" si="7"/>
        <v>0</v>
      </c>
      <c r="AP32" s="4">
        <f t="shared" si="7"/>
        <v>3</v>
      </c>
      <c r="AQ32" t="s">
        <v>108</v>
      </c>
      <c r="AR32" s="4" t="str">
        <f t="shared" si="8"/>
        <v>BXX</v>
      </c>
      <c r="AS32" t="s">
        <v>14</v>
      </c>
      <c r="AT32" s="4" t="str">
        <f>$A$3&amp;".E2_DC"</f>
        <v>BXX_BLS2_LI1.E2_DC</v>
      </c>
      <c r="AU32" t="s">
        <v>14</v>
      </c>
      <c r="AV32" s="4" t="str">
        <f t="shared" si="9"/>
        <v>BXX WW2 Backup Level Eng Value 2 Precision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t="s">
        <v>70</v>
      </c>
      <c r="B33" t="s">
        <v>16</v>
      </c>
      <c r="C33" t="s">
        <v>17</v>
      </c>
      <c r="E33" t="s">
        <v>39</v>
      </c>
      <c r="F33" t="s">
        <v>18</v>
      </c>
      <c r="G33" t="s">
        <v>19</v>
      </c>
      <c r="H33" t="s">
        <v>40</v>
      </c>
      <c r="I33" t="s">
        <v>71</v>
      </c>
      <c r="J33" t="s">
        <v>72</v>
      </c>
      <c r="K33" t="s">
        <v>73</v>
      </c>
      <c r="L33" t="s">
        <v>74</v>
      </c>
      <c r="M33" t="s">
        <v>75</v>
      </c>
      <c r="N33" t="s">
        <v>76</v>
      </c>
      <c r="O33" t="s">
        <v>77</v>
      </c>
      <c r="P33" t="s">
        <v>78</v>
      </c>
      <c r="Q33" t="s">
        <v>79</v>
      </c>
      <c r="R33" t="s">
        <v>80</v>
      </c>
      <c r="S33" t="s">
        <v>81</v>
      </c>
      <c r="T33" t="s">
        <v>82</v>
      </c>
      <c r="U33" t="s">
        <v>83</v>
      </c>
      <c r="V33" t="s">
        <v>84</v>
      </c>
      <c r="W33" t="s">
        <v>85</v>
      </c>
      <c r="X33" t="s">
        <v>86</v>
      </c>
      <c r="Y33" t="s">
        <v>87</v>
      </c>
      <c r="Z33" t="s">
        <v>88</v>
      </c>
      <c r="AA33" t="s">
        <v>89</v>
      </c>
      <c r="AB33" t="s">
        <v>90</v>
      </c>
      <c r="AC33" t="s">
        <v>91</v>
      </c>
      <c r="AD33" t="s">
        <v>92</v>
      </c>
      <c r="AE33" t="s">
        <v>93</v>
      </c>
      <c r="AF33" t="s">
        <v>94</v>
      </c>
      <c r="AG33" t="s">
        <v>95</v>
      </c>
      <c r="AH33" t="s">
        <v>96</v>
      </c>
      <c r="AI33" t="s">
        <v>97</v>
      </c>
      <c r="AJ33" t="s">
        <v>98</v>
      </c>
      <c r="AK33" t="s">
        <v>99</v>
      </c>
      <c r="AL33" t="s">
        <v>100</v>
      </c>
      <c r="AM33" t="s">
        <v>101</v>
      </c>
      <c r="AN33" t="s">
        <v>102</v>
      </c>
      <c r="AO33" t="s">
        <v>103</v>
      </c>
      <c r="AP33" t="s">
        <v>104</v>
      </c>
      <c r="AQ33" t="s">
        <v>105</v>
      </c>
      <c r="AR33" t="s">
        <v>47</v>
      </c>
      <c r="AS33" t="s">
        <v>48</v>
      </c>
      <c r="AT33" t="s">
        <v>49</v>
      </c>
      <c r="AU33" t="s">
        <v>50</v>
      </c>
      <c r="AV33" t="s">
        <v>51</v>
      </c>
      <c r="AW33" t="s">
        <v>52</v>
      </c>
      <c r="AX33" t="s">
        <v>20</v>
      </c>
      <c r="AY33" t="s">
        <v>21</v>
      </c>
      <c r="AZ33" t="s">
        <v>22</v>
      </c>
      <c r="BA33" t="s">
        <v>23</v>
      </c>
      <c r="BB33" t="s">
        <v>24</v>
      </c>
      <c r="BC33" t="s">
        <v>25</v>
      </c>
      <c r="BD33" t="s">
        <v>26</v>
      </c>
      <c r="BE33" t="s">
        <v>28</v>
      </c>
      <c r="BF33" t="s">
        <v>29</v>
      </c>
      <c r="BG33" t="s">
        <v>30</v>
      </c>
      <c r="BH33" t="s">
        <v>31</v>
      </c>
      <c r="BI33" t="s">
        <v>32</v>
      </c>
      <c r="BJ33" t="s">
        <v>33</v>
      </c>
      <c r="BK33" t="s">
        <v>34</v>
      </c>
      <c r="BL33" t="s">
        <v>53</v>
      </c>
    </row>
    <row r="34" spans="1:64" x14ac:dyDescent="0.25">
      <c r="A34" s="4" t="str">
        <f>$A$3&amp;"_SN_LL"</f>
        <v>BXX_BLS2_LI1_SN_LL</v>
      </c>
      <c r="B34" s="4" t="str">
        <f t="shared" ref="B34:C48" si="10">$A$3</f>
        <v>BXX_BLS2_LI1</v>
      </c>
      <c r="C34" s="4" t="str">
        <f>$C$3 &amp; " LOLO Alarm Delay"</f>
        <v>BXX WW2 Backup Level LOLO Alarm Delay</v>
      </c>
      <c r="D34" s="2">
        <f t="shared" ref="D34:D90" si="11">LEN(C34)</f>
        <v>37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>N34</f>
        <v>0</v>
      </c>
      <c r="AP34" s="4">
        <f>O34</f>
        <v>999</v>
      </c>
      <c r="AQ34" t="s">
        <v>108</v>
      </c>
      <c r="AR34" s="4" t="str">
        <f>$O$6</f>
        <v>BXX</v>
      </c>
      <c r="AS34" t="s">
        <v>14</v>
      </c>
      <c r="AT34" s="4" t="str">
        <f>$A$3&amp;".SN_LL"</f>
        <v>BXX_BLS2_LI1.SN_LL</v>
      </c>
      <c r="AU34" t="s">
        <v>14</v>
      </c>
      <c r="AV34" s="4" t="str">
        <f>C34</f>
        <v>BXX WW2 Backup Level LOLO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$A$3&amp;"_SN_HI"</f>
        <v>BXX_BLS2_LI1_SN_HI</v>
      </c>
      <c r="B35" s="4" t="str">
        <f t="shared" si="10"/>
        <v>BXX_BLS2_LI1</v>
      </c>
      <c r="C35" s="4" t="str">
        <f>$C$3 &amp; " High Alarm Delay"</f>
        <v>BXX WW2 Backup Level High Alarm Delay</v>
      </c>
      <c r="D35" s="2">
        <f t="shared" si="11"/>
        <v>37</v>
      </c>
      <c r="E35" t="s">
        <v>14</v>
      </c>
      <c r="F35" t="s">
        <v>13</v>
      </c>
      <c r="G35" s="5">
        <v>900</v>
      </c>
      <c r="H35" t="s">
        <v>13</v>
      </c>
      <c r="I35" t="s">
        <v>14</v>
      </c>
      <c r="J35">
        <v>0</v>
      </c>
      <c r="K35">
        <v>0</v>
      </c>
      <c r="L35" t="s">
        <v>109</v>
      </c>
      <c r="M35" s="4">
        <f t="shared" ref="M35:M46" si="12">N35</f>
        <v>0</v>
      </c>
      <c r="N35">
        <v>0</v>
      </c>
      <c r="O35">
        <v>999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ref="AO35:AP46" si="13">N35</f>
        <v>0</v>
      </c>
      <c r="AP35" s="4">
        <f t="shared" si="13"/>
        <v>999</v>
      </c>
      <c r="AQ35" t="s">
        <v>108</v>
      </c>
      <c r="AR35" s="4" t="str">
        <f t="shared" ref="AR35:AR46" si="14">$O$6</f>
        <v>BXX</v>
      </c>
      <c r="AS35" t="s">
        <v>14</v>
      </c>
      <c r="AT35" s="4" t="str">
        <f>$A$3&amp;".SN_HI"</f>
        <v>BXX_BLS2_LI1.SN_HI</v>
      </c>
      <c r="AU35" t="s">
        <v>14</v>
      </c>
      <c r="AV35" s="4" t="str">
        <f t="shared" ref="AV35:AV46" si="15">C35</f>
        <v>BXX WW2 Backup Level High Alarm Delay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4" t="str">
        <f>$A$3&amp;"_AI_CV"</f>
        <v>BXX_BLS2_LI1_AI_CV</v>
      </c>
      <c r="B36" s="4" t="str">
        <f t="shared" si="10"/>
        <v>BXX_BLS2_LI1</v>
      </c>
      <c r="C36" s="4" t="str">
        <f>$C$3 &amp; " Current Value"</f>
        <v>BXX WW2 Backup Level Current Value</v>
      </c>
      <c r="D36" s="2">
        <f t="shared" si="11"/>
        <v>34</v>
      </c>
      <c r="E36" t="s">
        <v>13</v>
      </c>
      <c r="F36" t="s">
        <v>14</v>
      </c>
      <c r="G36">
        <v>0</v>
      </c>
      <c r="H36" t="s">
        <v>13</v>
      </c>
      <c r="I36" t="s">
        <v>14</v>
      </c>
      <c r="J36">
        <v>0</v>
      </c>
      <c r="K36">
        <v>0</v>
      </c>
      <c r="L36" s="3" t="s">
        <v>122</v>
      </c>
      <c r="M36" s="4">
        <f t="shared" si="12"/>
        <v>0</v>
      </c>
      <c r="N36" s="3">
        <v>0</v>
      </c>
      <c r="O36" s="3">
        <v>100</v>
      </c>
      <c r="P36">
        <v>0</v>
      </c>
      <c r="Q36" s="4">
        <f>(O36-N36)*0.01</f>
        <v>1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100</v>
      </c>
      <c r="AQ36" t="s">
        <v>108</v>
      </c>
      <c r="AR36" s="4" t="str">
        <f t="shared" si="14"/>
        <v>BXX</v>
      </c>
      <c r="AS36" t="s">
        <v>14</v>
      </c>
      <c r="AT36" s="4" t="str">
        <f>$A$3&amp;".AI_CV"</f>
        <v>BXX_BLS2_LI1.AI_CV</v>
      </c>
      <c r="AU36" t="s">
        <v>14</v>
      </c>
      <c r="AV36" s="4" t="str">
        <f t="shared" si="15"/>
        <v>BXX WW2 Backup Level Current Value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4" t="str">
        <f>$A$3&amp;"_AO_XM"</f>
        <v>BXX_BLS2_LI1_AO_XM</v>
      </c>
      <c r="B37" s="4" t="str">
        <f t="shared" si="10"/>
        <v>BXX_BLS2_LI1</v>
      </c>
      <c r="C37" s="4" t="str">
        <f>$C$3 &amp; " Span Setpoint"</f>
        <v>BXX WW2 Backup Level Span Setpoint</v>
      </c>
      <c r="D37" s="2">
        <f t="shared" si="11"/>
        <v>34</v>
      </c>
      <c r="E37" t="s">
        <v>14</v>
      </c>
      <c r="F37" t="s">
        <v>13</v>
      </c>
      <c r="G37">
        <v>900</v>
      </c>
      <c r="H37" t="s">
        <v>13</v>
      </c>
      <c r="I37" t="s">
        <v>14</v>
      </c>
      <c r="J37">
        <v>0</v>
      </c>
      <c r="K37">
        <v>0</v>
      </c>
      <c r="L37" s="4" t="str">
        <f>$L$36</f>
        <v>%</v>
      </c>
      <c r="M37" s="4">
        <f t="shared" si="12"/>
        <v>0</v>
      </c>
      <c r="N37" s="4">
        <f>$N$36</f>
        <v>0</v>
      </c>
      <c r="O37" s="4">
        <f>$O$36</f>
        <v>100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100</v>
      </c>
      <c r="AQ37" t="s">
        <v>108</v>
      </c>
      <c r="AR37" s="4" t="str">
        <f t="shared" si="14"/>
        <v>BXX</v>
      </c>
      <c r="AS37" t="s">
        <v>14</v>
      </c>
      <c r="AT37" s="4" t="str">
        <f>$A$3&amp;".AO_XM"</f>
        <v>BXX_BLS2_LI1.AO_XM</v>
      </c>
      <c r="AU37" t="s">
        <v>14</v>
      </c>
      <c r="AV37" s="4" t="str">
        <f t="shared" si="15"/>
        <v>BXX WW2 Backup Level Span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$A$3&amp;"_AO_LO"</f>
        <v>BXX_BLS2_LI1_AO_LO</v>
      </c>
      <c r="B38" s="4" t="str">
        <f t="shared" si="10"/>
        <v>BXX_BLS2_LI1</v>
      </c>
      <c r="C38" s="4" t="str">
        <f>$C$3 &amp; " Low Setpoint"</f>
        <v>BXX WW2 Backup Level Low Setpoint</v>
      </c>
      <c r="D38" s="2">
        <f t="shared" si="11"/>
        <v>33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4" t="str">
        <f>$L$36</f>
        <v>%</v>
      </c>
      <c r="M38" s="4">
        <f t="shared" si="12"/>
        <v>0</v>
      </c>
      <c r="N38" s="4">
        <f>$N$36</f>
        <v>0</v>
      </c>
      <c r="O38" s="4">
        <f>$O$36</f>
        <v>100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100</v>
      </c>
      <c r="AQ38" t="s">
        <v>108</v>
      </c>
      <c r="AR38" s="4" t="str">
        <f t="shared" si="14"/>
        <v>BXX</v>
      </c>
      <c r="AS38" t="s">
        <v>14</v>
      </c>
      <c r="AT38" s="4" t="str">
        <f>$A$3&amp;".AO_LO"</f>
        <v>BXX_BLS2_LI1.AO_LO</v>
      </c>
      <c r="AU38" t="s">
        <v>14</v>
      </c>
      <c r="AV38" s="4" t="str">
        <f t="shared" si="15"/>
        <v>BXX WW2 Backup Level Low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$A$3&amp;"_AO_HH"</f>
        <v>BXX_BLS2_LI1_AO_HH</v>
      </c>
      <c r="B39" s="4" t="str">
        <f t="shared" si="10"/>
        <v>BXX_BLS2_LI1</v>
      </c>
      <c r="C39" s="4" t="str">
        <f>$C$3 &amp; " HIHI Setpoint"</f>
        <v>BXX WW2 Backup Level HIHI Setpoint</v>
      </c>
      <c r="D39" s="2">
        <f t="shared" si="11"/>
        <v>34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4" t="str">
        <f>$L$36</f>
        <v>%</v>
      </c>
      <c r="M39" s="4">
        <f t="shared" si="12"/>
        <v>0</v>
      </c>
      <c r="N39" s="4">
        <f>$N$36</f>
        <v>0</v>
      </c>
      <c r="O39" s="4">
        <f>$O$36</f>
        <v>100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100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$A$3&amp;".AO_HH"</f>
        <v>BXX_BLS2_LI1.AO_HH</v>
      </c>
      <c r="AU39" t="s">
        <v>14</v>
      </c>
      <c r="AV39" s="4" t="str">
        <f t="shared" si="15"/>
        <v>BXX WW2 Backup Level HIHI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x14ac:dyDescent="0.25">
      <c r="A40" s="4" t="str">
        <f>$A$3&amp;"_E2_CV"</f>
        <v>BXX_BLS2_LI1_E2_CV</v>
      </c>
      <c r="B40" s="4" t="str">
        <f t="shared" si="10"/>
        <v>BXX_BLS2_LI1</v>
      </c>
      <c r="C40" s="4" t="str">
        <f>$C$3 &amp; " Units 2"</f>
        <v>BXX WW2 Backup Level Units 2</v>
      </c>
      <c r="D40" s="2">
        <f t="shared" si="11"/>
        <v>28</v>
      </c>
      <c r="E40" t="s">
        <v>14</v>
      </c>
      <c r="F40" t="s">
        <v>14</v>
      </c>
      <c r="G40">
        <v>0</v>
      </c>
      <c r="H40" t="s">
        <v>13</v>
      </c>
      <c r="I40" t="s">
        <v>14</v>
      </c>
      <c r="J40">
        <v>0</v>
      </c>
      <c r="K40">
        <v>0</v>
      </c>
      <c r="L40" s="3" t="s">
        <v>170</v>
      </c>
      <c r="M40" s="4">
        <f t="shared" si="12"/>
        <v>0</v>
      </c>
      <c r="N40" s="3">
        <v>0</v>
      </c>
      <c r="O40" s="3">
        <v>6.5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6.5</v>
      </c>
      <c r="AQ40" t="s">
        <v>108</v>
      </c>
      <c r="AR40" s="4" t="str">
        <f t="shared" si="14"/>
        <v>BXX</v>
      </c>
      <c r="AS40" t="s">
        <v>14</v>
      </c>
      <c r="AT40" s="4" t="str">
        <f>$A$3&amp;".E2_CV"</f>
        <v>BXX_BLS2_LI1.E2_CV</v>
      </c>
      <c r="AU40" t="s">
        <v>14</v>
      </c>
      <c r="AV40" s="4" t="str">
        <f t="shared" si="15"/>
        <v>BXX WW2 Backup Level Units 2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$A$3&amp;"_AO_HI"</f>
        <v>BXX_BLS2_LI1_AO_HI</v>
      </c>
      <c r="B41" s="4" t="str">
        <f t="shared" si="10"/>
        <v>BXX_BLS2_LI1</v>
      </c>
      <c r="C41" s="4" t="str">
        <f>$C$3 &amp; " High Setpoint"</f>
        <v>BXX WW2 Backup Level High Setpoint</v>
      </c>
      <c r="D41" s="2">
        <f t="shared" si="11"/>
        <v>34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s="4" t="str">
        <f>$L$36</f>
        <v>%</v>
      </c>
      <c r="M41" s="4">
        <f t="shared" si="12"/>
        <v>0</v>
      </c>
      <c r="N41" s="4">
        <f>$N$36</f>
        <v>0</v>
      </c>
      <c r="O41" s="4">
        <f>$O$36</f>
        <v>100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100</v>
      </c>
      <c r="AQ41" t="s">
        <v>108</v>
      </c>
      <c r="AR41" s="4" t="str">
        <f t="shared" si="14"/>
        <v>BXX</v>
      </c>
      <c r="AS41" t="s">
        <v>14</v>
      </c>
      <c r="AT41" s="4" t="str">
        <f>$A$3&amp;".AO_HI"</f>
        <v>BXX_BLS2_LI1.AO_HI</v>
      </c>
      <c r="AU41" t="s">
        <v>14</v>
      </c>
      <c r="AV41" s="4" t="str">
        <f t="shared" si="15"/>
        <v>BXX WW2 Backup Level High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s="4" t="str">
        <f>$A$3&amp;"_AO_SV"</f>
        <v>BXX_BLS2_LI1_AO_SV</v>
      </c>
      <c r="B42" s="4" t="str">
        <f t="shared" si="10"/>
        <v>BXX_BLS2_LI1</v>
      </c>
      <c r="C42" s="4" t="str">
        <f>$C$3 &amp; " Override Value"</f>
        <v>BXX WW2 Backup Level Override Value</v>
      </c>
      <c r="D42" s="2">
        <f t="shared" si="11"/>
        <v>35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s="4" t="str">
        <f>$L$36</f>
        <v>%</v>
      </c>
      <c r="M42" s="4">
        <f t="shared" si="12"/>
        <v>0</v>
      </c>
      <c r="N42" s="4">
        <f>$N$36</f>
        <v>0</v>
      </c>
      <c r="O42" s="4">
        <f>$O$36</f>
        <v>100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100</v>
      </c>
      <c r="AQ42" t="s">
        <v>108</v>
      </c>
      <c r="AR42" s="4" t="str">
        <f t="shared" si="14"/>
        <v>BXX</v>
      </c>
      <c r="AS42" t="s">
        <v>14</v>
      </c>
      <c r="AT42" s="4" t="str">
        <f>$A$3&amp;".AO_SV"</f>
        <v>BXX_BLS2_LI1.AO_SV</v>
      </c>
      <c r="AU42" t="s">
        <v>14</v>
      </c>
      <c r="AV42" s="4" t="str">
        <f t="shared" si="15"/>
        <v>BXX WW2 Backup Level Override Value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4" t="str">
        <f>$A$3&amp;"_AO_EM"</f>
        <v>BXX_BLS2_LI1_AO_EM</v>
      </c>
      <c r="B43" s="4" t="str">
        <f t="shared" si="10"/>
        <v>BXX_BLS2_LI1</v>
      </c>
      <c r="C43" s="4" t="str">
        <f>$C$3 &amp; " Zero Setpoint"</f>
        <v>BXX WW2 Backup Level Zero Setpoint</v>
      </c>
      <c r="D43" s="2">
        <f t="shared" si="11"/>
        <v>34</v>
      </c>
      <c r="E43" t="s">
        <v>14</v>
      </c>
      <c r="F43" t="s">
        <v>13</v>
      </c>
      <c r="G43">
        <v>900</v>
      </c>
      <c r="H43" t="s">
        <v>13</v>
      </c>
      <c r="I43" t="s">
        <v>14</v>
      </c>
      <c r="J43">
        <v>0</v>
      </c>
      <c r="K43">
        <v>0</v>
      </c>
      <c r="L43" s="4" t="str">
        <f>$L$36</f>
        <v>%</v>
      </c>
      <c r="M43" s="4">
        <f t="shared" si="12"/>
        <v>0</v>
      </c>
      <c r="N43" s="4">
        <f>$N$36</f>
        <v>0</v>
      </c>
      <c r="O43" s="4">
        <f>$O$36</f>
        <v>100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100</v>
      </c>
      <c r="AQ43" t="s">
        <v>108</v>
      </c>
      <c r="AR43" s="4" t="str">
        <f t="shared" si="14"/>
        <v>BXX</v>
      </c>
      <c r="AS43" t="s">
        <v>14</v>
      </c>
      <c r="AT43" s="4" t="str">
        <f>$A$3&amp;".AO_EM"</f>
        <v>BXX_BLS2_LI1.AO_EM</v>
      </c>
      <c r="AU43" t="s">
        <v>14</v>
      </c>
      <c r="AV43" s="4" t="str">
        <f t="shared" si="15"/>
        <v>BXX WW2 Backup Level Zero Setpoint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$A$3&amp;"_SN_HH"</f>
        <v>BXX_BLS2_LI1_SN_HH</v>
      </c>
      <c r="B44" s="4" t="str">
        <f t="shared" si="10"/>
        <v>BXX_BLS2_LI1</v>
      </c>
      <c r="C44" s="4" t="str">
        <f>$C$3 &amp; " HIHI Alarm Delay"</f>
        <v>BXX WW2 Backup Level HIHI Alarm Delay</v>
      </c>
      <c r="D44" s="2">
        <f t="shared" si="11"/>
        <v>37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109</v>
      </c>
      <c r="M44" s="4">
        <f t="shared" si="12"/>
        <v>0</v>
      </c>
      <c r="N44">
        <v>0</v>
      </c>
      <c r="O44">
        <v>999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999</v>
      </c>
      <c r="AQ44" t="s">
        <v>108</v>
      </c>
      <c r="AR44" s="4" t="str">
        <f t="shared" si="14"/>
        <v>BXX</v>
      </c>
      <c r="AS44" t="s">
        <v>14</v>
      </c>
      <c r="AT44" s="4" t="str">
        <f>$A$3&amp;".SN_HH"</f>
        <v>BXX_BLS2_LI1.SN_HH</v>
      </c>
      <c r="AU44" t="s">
        <v>14</v>
      </c>
      <c r="AV44" s="4" t="str">
        <f t="shared" si="15"/>
        <v>BXX WW2 Backup Level HIHI Alarm Delay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4" t="str">
        <f>$A$3&amp;"_SN_LO"</f>
        <v>BXX_BLS2_LI1_SN_LO</v>
      </c>
      <c r="B45" s="4" t="str">
        <f t="shared" si="10"/>
        <v>BXX_BLS2_LI1</v>
      </c>
      <c r="C45" s="4" t="str">
        <f>$C$3 &amp; " Low Alarm Delay"</f>
        <v>BXX WW2 Backup Level Low Alarm Delay</v>
      </c>
      <c r="D45" s="2">
        <f t="shared" si="11"/>
        <v>36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109</v>
      </c>
      <c r="M45" s="4">
        <f t="shared" si="12"/>
        <v>0</v>
      </c>
      <c r="N45">
        <v>0</v>
      </c>
      <c r="O45">
        <v>999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 s="4">
        <f t="shared" si="13"/>
        <v>0</v>
      </c>
      <c r="AP45" s="4">
        <f t="shared" si="13"/>
        <v>999</v>
      </c>
      <c r="AQ45" t="s">
        <v>108</v>
      </c>
      <c r="AR45" s="4" t="str">
        <f t="shared" si="14"/>
        <v>BXX</v>
      </c>
      <c r="AS45" t="s">
        <v>14</v>
      </c>
      <c r="AT45" s="4" t="str">
        <f>$A$3&amp;".SN_LO"</f>
        <v>BXX_BLS2_LI1.SN_LO</v>
      </c>
      <c r="AU45" t="s">
        <v>14</v>
      </c>
      <c r="AV45" s="4" t="str">
        <f t="shared" si="15"/>
        <v>BXX WW2 Backup Level Low Alarm Delay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4" t="str">
        <f>$A$3&amp;"_AO_LL"</f>
        <v>BXX_BLS2_LI1_AO_LL</v>
      </c>
      <c r="B46" s="4" t="str">
        <f t="shared" si="10"/>
        <v>BXX_BLS2_LI1</v>
      </c>
      <c r="C46" s="4" t="str">
        <f>$C$3 &amp; " LOLO Setpoint"</f>
        <v>BXX WW2 Backup Level LOLO Setpoint</v>
      </c>
      <c r="D46" s="2">
        <f t="shared" si="11"/>
        <v>34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s="4" t="str">
        <f t="shared" ref="L46" si="16">$L$36</f>
        <v>%</v>
      </c>
      <c r="M46" s="4">
        <f t="shared" si="12"/>
        <v>0</v>
      </c>
      <c r="N46" s="4">
        <f t="shared" ref="N46" si="17">$N$36</f>
        <v>0</v>
      </c>
      <c r="O46" s="4">
        <f t="shared" ref="O46" si="18">$O$36</f>
        <v>100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 s="4">
        <f t="shared" si="13"/>
        <v>0</v>
      </c>
      <c r="AP46" s="4">
        <f t="shared" si="13"/>
        <v>100</v>
      </c>
      <c r="AQ46" t="s">
        <v>108</v>
      </c>
      <c r="AR46" s="4" t="str">
        <f t="shared" si="14"/>
        <v>BXX</v>
      </c>
      <c r="AS46" t="s">
        <v>14</v>
      </c>
      <c r="AT46" s="4" t="str">
        <f>$A$3&amp;".AO_LL"</f>
        <v>BXX_BLS2_LI1.AO_LL</v>
      </c>
      <c r="AU46" t="s">
        <v>14</v>
      </c>
      <c r="AV46" s="4" t="str">
        <f t="shared" si="15"/>
        <v>BXX WW2 Backup Level LOLO Setpoint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t="s">
        <v>123</v>
      </c>
      <c r="B47" t="s">
        <v>16</v>
      </c>
      <c r="C47" t="s">
        <v>17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51</v>
      </c>
      <c r="L47" t="s">
        <v>53</v>
      </c>
    </row>
    <row r="48" spans="1:64" x14ac:dyDescent="0.25">
      <c r="A48" s="4" t="str">
        <f>$A$3&amp;"_DI_NM"</f>
        <v>BXX_BLS2_LI1_DI_NM</v>
      </c>
      <c r="B48" s="4" t="str">
        <f t="shared" si="10"/>
        <v>BXX_BLS2_LI1</v>
      </c>
      <c r="C48" s="4" t="str">
        <f t="shared" si="10"/>
        <v>BXX_BLS2_LI1</v>
      </c>
      <c r="D48" s="2">
        <f t="shared" si="11"/>
        <v>12</v>
      </c>
      <c r="E48" t="s">
        <v>14</v>
      </c>
      <c r="F48" t="s">
        <v>14</v>
      </c>
      <c r="G48">
        <v>0</v>
      </c>
      <c r="H48" t="s">
        <v>13</v>
      </c>
      <c r="I48">
        <v>24</v>
      </c>
      <c r="J48" t="s">
        <v>116</v>
      </c>
      <c r="K48" t="s">
        <v>116</v>
      </c>
      <c r="L48" t="s">
        <v>13</v>
      </c>
    </row>
    <row r="49" spans="1:16" x14ac:dyDescent="0.25">
      <c r="A49" t="s">
        <v>126</v>
      </c>
      <c r="B49" t="s">
        <v>127</v>
      </c>
      <c r="C49" t="s">
        <v>128</v>
      </c>
      <c r="D49" s="2">
        <f t="shared" si="11"/>
        <v>20</v>
      </c>
      <c r="E49" t="s">
        <v>14</v>
      </c>
      <c r="F49" t="s">
        <v>14</v>
      </c>
      <c r="G49">
        <v>0</v>
      </c>
      <c r="H49" t="s">
        <v>14</v>
      </c>
      <c r="I49">
        <v>131</v>
      </c>
    </row>
    <row r="50" spans="1:16" x14ac:dyDescent="0.25">
      <c r="A50" t="s">
        <v>604</v>
      </c>
      <c r="B50" t="s">
        <v>127</v>
      </c>
      <c r="C50" t="s">
        <v>129</v>
      </c>
      <c r="D50" s="2">
        <f t="shared" si="11"/>
        <v>32</v>
      </c>
      <c r="E50" t="s">
        <v>14</v>
      </c>
      <c r="F50" t="s">
        <v>14</v>
      </c>
      <c r="G50">
        <v>0</v>
      </c>
      <c r="H50" t="s">
        <v>14</v>
      </c>
      <c r="I50">
        <v>131</v>
      </c>
    </row>
    <row r="51" spans="1:16" x14ac:dyDescent="0.25">
      <c r="A51" t="s">
        <v>130</v>
      </c>
      <c r="B51" t="s">
        <v>16</v>
      </c>
      <c r="C51" t="s">
        <v>17</v>
      </c>
      <c r="D51" s="2">
        <f t="shared" si="11"/>
        <v>7</v>
      </c>
      <c r="E51" t="s">
        <v>39</v>
      </c>
      <c r="F51" t="s">
        <v>18</v>
      </c>
      <c r="G51" t="s">
        <v>19</v>
      </c>
      <c r="H51" t="s">
        <v>40</v>
      </c>
      <c r="I51" t="s">
        <v>124</v>
      </c>
      <c r="J51" t="s">
        <v>125</v>
      </c>
      <c r="K51" t="s">
        <v>47</v>
      </c>
      <c r="L51" t="s">
        <v>48</v>
      </c>
      <c r="M51" t="s">
        <v>49</v>
      </c>
      <c r="N51" t="s">
        <v>50</v>
      </c>
      <c r="O51" t="s">
        <v>51</v>
      </c>
      <c r="P51" t="s">
        <v>53</v>
      </c>
    </row>
    <row r="52" spans="1:16" x14ac:dyDescent="0.25">
      <c r="A52" s="4" t="str">
        <f>$A$3&amp;"_PB_HH_RN"</f>
        <v>BXX_BLS2_LI1_PB_HH_RN</v>
      </c>
      <c r="B52" s="4" t="str">
        <f>$A$3</f>
        <v>BXX_BLS2_LI1</v>
      </c>
      <c r="C52" s="4" t="str">
        <f>$C$3 &amp; " HIHI Alarm Disabled Reason"</f>
        <v>BXX WW2 Backup Level HIHI Alarm Disabled Reason</v>
      </c>
      <c r="D52" s="2">
        <f t="shared" si="11"/>
        <v>47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">
        <v>630</v>
      </c>
      <c r="L52" t="s">
        <v>13</v>
      </c>
      <c r="M52" s="4" t="str">
        <f>A52</f>
        <v>BXX_BLS2_LI1_PB_HH_RN</v>
      </c>
      <c r="N52" t="s">
        <v>14</v>
      </c>
      <c r="O52" s="4" t="str">
        <f>C52</f>
        <v>BXX WW2 Backup Level HIHI Alarm Disabled Reason</v>
      </c>
    </row>
    <row r="53" spans="1:16" x14ac:dyDescent="0.25">
      <c r="A53" s="4" t="str">
        <f>$A$3&amp;"_PB_LL_RN"</f>
        <v>BXX_BLS2_LI1_PB_LL_RN</v>
      </c>
      <c r="B53" s="4" t="str">
        <f t="shared" ref="B53:B54" si="19">$A$3</f>
        <v>BXX_BLS2_LI1</v>
      </c>
      <c r="C53" s="4" t="str">
        <f>$C$3 &amp; " LOLO Alarm Disabled Reason"</f>
        <v>BXX WW2 Backup Level LOLO Alarm Disabled Reason</v>
      </c>
      <c r="D53" s="2">
        <f t="shared" si="11"/>
        <v>47</v>
      </c>
      <c r="E53" t="s">
        <v>14</v>
      </c>
      <c r="F53" t="s">
        <v>14</v>
      </c>
      <c r="G53">
        <v>0</v>
      </c>
      <c r="H53" t="s">
        <v>13</v>
      </c>
      <c r="I53">
        <v>131</v>
      </c>
      <c r="J53" t="s">
        <v>131</v>
      </c>
      <c r="K53" s="5" t="str">
        <f>$K$52</f>
        <v>BXXCPU01_1</v>
      </c>
      <c r="L53" t="s">
        <v>13</v>
      </c>
      <c r="M53" s="4" t="str">
        <f t="shared" ref="M53:M54" si="20">A53</f>
        <v>BXX_BLS2_LI1_PB_LL_RN</v>
      </c>
      <c r="N53" t="s">
        <v>14</v>
      </c>
      <c r="O53" s="4" t="str">
        <f t="shared" ref="O53:O54" si="21">C53</f>
        <v>BXX WW2 Backup Level LOLO Alarm Disabled Reason</v>
      </c>
    </row>
    <row r="54" spans="1:16" x14ac:dyDescent="0.25">
      <c r="A54" s="4" t="str">
        <f>$A$3&amp;"_PB_ER_RN"</f>
        <v>BXX_BLS2_LI1_PB_ER_RN</v>
      </c>
      <c r="B54" s="4" t="str">
        <f t="shared" si="19"/>
        <v>BXX_BLS2_LI1</v>
      </c>
      <c r="C54" s="4" t="str">
        <f>$C$3 &amp; " Sig Error Alarm Dis Reason"</f>
        <v>BXX WW2 Backup Level Sig Error Alarm Dis Reason</v>
      </c>
      <c r="D54" s="2">
        <f t="shared" si="11"/>
        <v>47</v>
      </c>
      <c r="E54" t="s">
        <v>14</v>
      </c>
      <c r="F54" t="s">
        <v>14</v>
      </c>
      <c r="G54">
        <v>0</v>
      </c>
      <c r="H54" t="s">
        <v>13</v>
      </c>
      <c r="I54">
        <v>131</v>
      </c>
      <c r="J54" t="s">
        <v>131</v>
      </c>
      <c r="K54" s="5" t="str">
        <f>$K$52</f>
        <v>BXXCPU01_1</v>
      </c>
      <c r="L54" t="s">
        <v>13</v>
      </c>
      <c r="M54" s="4" t="str">
        <f t="shared" si="20"/>
        <v>BXX_BLS2_LI1_PB_ER_RN</v>
      </c>
      <c r="N54" t="s">
        <v>14</v>
      </c>
      <c r="O54" s="4" t="str">
        <f t="shared" si="21"/>
        <v>BXX WW2 Backup Level Sig Error Alarm Dis Reason</v>
      </c>
    </row>
    <row r="55" spans="1:16" x14ac:dyDescent="0.25">
      <c r="A55" t="s">
        <v>560</v>
      </c>
      <c r="B55" t="s">
        <v>16</v>
      </c>
      <c r="C55" t="s">
        <v>17</v>
      </c>
      <c r="D55" s="2">
        <f t="shared" si="11"/>
        <v>7</v>
      </c>
      <c r="E55" t="s">
        <v>18</v>
      </c>
      <c r="F55" t="s">
        <v>19</v>
      </c>
      <c r="G55" t="s">
        <v>40</v>
      </c>
      <c r="H55" t="s">
        <v>53</v>
      </c>
    </row>
    <row r="56" spans="1:16" x14ac:dyDescent="0.25">
      <c r="A56" t="s">
        <v>458</v>
      </c>
      <c r="B56" t="s">
        <v>127</v>
      </c>
      <c r="C56" t="s">
        <v>132</v>
      </c>
      <c r="D56" s="2">
        <f t="shared" si="11"/>
        <v>44</v>
      </c>
      <c r="E56" t="s">
        <v>14</v>
      </c>
      <c r="F56">
        <v>0</v>
      </c>
      <c r="G56" t="s">
        <v>14</v>
      </c>
    </row>
    <row r="57" spans="1:16" x14ac:dyDescent="0.25">
      <c r="A57" t="s">
        <v>459</v>
      </c>
      <c r="B57" t="s">
        <v>127</v>
      </c>
      <c r="C57" t="s">
        <v>133</v>
      </c>
      <c r="D57" s="2">
        <f t="shared" si="11"/>
        <v>41</v>
      </c>
      <c r="E57" t="s">
        <v>14</v>
      </c>
      <c r="F57">
        <v>0</v>
      </c>
      <c r="G57" t="s">
        <v>14</v>
      </c>
    </row>
    <row r="58" spans="1:16" x14ac:dyDescent="0.25">
      <c r="A58" t="s">
        <v>460</v>
      </c>
      <c r="B58" t="s">
        <v>127</v>
      </c>
      <c r="C58" t="s">
        <v>134</v>
      </c>
      <c r="D58" s="2">
        <f t="shared" si="11"/>
        <v>39</v>
      </c>
      <c r="E58" t="s">
        <v>14</v>
      </c>
      <c r="F58">
        <v>0</v>
      </c>
      <c r="G58" t="s">
        <v>14</v>
      </c>
    </row>
    <row r="59" spans="1:16" x14ac:dyDescent="0.25">
      <c r="A59" t="s">
        <v>461</v>
      </c>
      <c r="B59" t="s">
        <v>127</v>
      </c>
      <c r="C59" t="s">
        <v>135</v>
      </c>
      <c r="D59" s="2">
        <f t="shared" si="11"/>
        <v>39</v>
      </c>
      <c r="E59" t="s">
        <v>14</v>
      </c>
      <c r="F59">
        <v>0</v>
      </c>
      <c r="G59" t="s">
        <v>14</v>
      </c>
    </row>
    <row r="60" spans="1:16" x14ac:dyDescent="0.25">
      <c r="A60" t="s">
        <v>462</v>
      </c>
      <c r="B60" t="s">
        <v>127</v>
      </c>
      <c r="C60" t="s">
        <v>136</v>
      </c>
      <c r="D60" s="2">
        <f t="shared" si="11"/>
        <v>41</v>
      </c>
      <c r="E60" t="s">
        <v>14</v>
      </c>
      <c r="F60">
        <v>0</v>
      </c>
      <c r="G60" t="s">
        <v>14</v>
      </c>
    </row>
    <row r="61" spans="1:16" x14ac:dyDescent="0.25">
      <c r="A61" t="s">
        <v>463</v>
      </c>
      <c r="B61" t="s">
        <v>127</v>
      </c>
      <c r="C61" t="s">
        <v>137</v>
      </c>
      <c r="D61" s="2">
        <f t="shared" si="11"/>
        <v>49</v>
      </c>
      <c r="E61" t="s">
        <v>14</v>
      </c>
      <c r="F61">
        <v>0</v>
      </c>
      <c r="G61" t="s">
        <v>14</v>
      </c>
    </row>
    <row r="62" spans="1:16" x14ac:dyDescent="0.25">
      <c r="A62" t="s">
        <v>464</v>
      </c>
      <c r="B62" t="s">
        <v>127</v>
      </c>
      <c r="C62" t="s">
        <v>138</v>
      </c>
      <c r="D62" s="2">
        <f t="shared" si="11"/>
        <v>35</v>
      </c>
      <c r="E62" t="s">
        <v>14</v>
      </c>
      <c r="F62">
        <v>0</v>
      </c>
      <c r="G62" t="s">
        <v>14</v>
      </c>
    </row>
    <row r="63" spans="1:16" x14ac:dyDescent="0.25">
      <c r="A63" t="s">
        <v>465</v>
      </c>
      <c r="B63" t="s">
        <v>127</v>
      </c>
      <c r="C63" t="s">
        <v>139</v>
      </c>
      <c r="D63" s="2">
        <f t="shared" si="11"/>
        <v>39</v>
      </c>
      <c r="E63" t="s">
        <v>14</v>
      </c>
      <c r="F63">
        <v>0</v>
      </c>
      <c r="G63" t="s">
        <v>14</v>
      </c>
    </row>
    <row r="64" spans="1:16" x14ac:dyDescent="0.25">
      <c r="A64" t="s">
        <v>487</v>
      </c>
      <c r="B64" t="s">
        <v>127</v>
      </c>
      <c r="C64" t="s">
        <v>140</v>
      </c>
      <c r="D64" s="2">
        <f t="shared" si="11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426</v>
      </c>
      <c r="B65" t="s">
        <v>127</v>
      </c>
      <c r="C65" t="s">
        <v>141</v>
      </c>
      <c r="D65" s="2">
        <f t="shared" si="11"/>
        <v>31</v>
      </c>
      <c r="E65" t="s">
        <v>14</v>
      </c>
      <c r="F65">
        <v>0</v>
      </c>
      <c r="G65" t="s">
        <v>14</v>
      </c>
    </row>
    <row r="66" spans="1:8" x14ac:dyDescent="0.25">
      <c r="A66" t="s">
        <v>466</v>
      </c>
      <c r="B66" t="s">
        <v>127</v>
      </c>
      <c r="C66" t="s">
        <v>142</v>
      </c>
      <c r="D66" s="2">
        <f t="shared" si="11"/>
        <v>41</v>
      </c>
      <c r="E66" t="s">
        <v>14</v>
      </c>
      <c r="F66">
        <v>0</v>
      </c>
      <c r="G66" t="s">
        <v>14</v>
      </c>
    </row>
    <row r="67" spans="1:8" x14ac:dyDescent="0.25">
      <c r="A67" t="s">
        <v>467</v>
      </c>
      <c r="B67" t="s">
        <v>127</v>
      </c>
      <c r="C67" t="s">
        <v>143</v>
      </c>
      <c r="D67" s="2">
        <f t="shared" si="11"/>
        <v>47</v>
      </c>
      <c r="E67" t="s">
        <v>14</v>
      </c>
      <c r="F67">
        <v>0</v>
      </c>
      <c r="G67" t="s">
        <v>14</v>
      </c>
    </row>
    <row r="68" spans="1:8" x14ac:dyDescent="0.25">
      <c r="A68" t="s">
        <v>468</v>
      </c>
      <c r="B68" t="s">
        <v>127</v>
      </c>
      <c r="C68" t="s">
        <v>144</v>
      </c>
      <c r="D68" s="2">
        <f t="shared" si="11"/>
        <v>30</v>
      </c>
      <c r="E68" t="s">
        <v>14</v>
      </c>
      <c r="F68">
        <v>0</v>
      </c>
      <c r="G68" t="s">
        <v>14</v>
      </c>
    </row>
    <row r="69" spans="1:8" x14ac:dyDescent="0.25">
      <c r="A69" t="s">
        <v>561</v>
      </c>
      <c r="B69" t="s">
        <v>16</v>
      </c>
      <c r="C69" t="s">
        <v>17</v>
      </c>
      <c r="D69" s="2">
        <f t="shared" si="11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493</v>
      </c>
      <c r="B70" t="s">
        <v>127</v>
      </c>
      <c r="C70" t="s">
        <v>146</v>
      </c>
      <c r="D70" s="2">
        <f t="shared" si="11"/>
        <v>49</v>
      </c>
      <c r="E70" t="s">
        <v>14</v>
      </c>
      <c r="F70">
        <v>0</v>
      </c>
      <c r="G70" t="s">
        <v>14</v>
      </c>
    </row>
    <row r="71" spans="1:8" x14ac:dyDescent="0.25">
      <c r="A71" t="s">
        <v>494</v>
      </c>
      <c r="B71" t="s">
        <v>127</v>
      </c>
      <c r="C71" t="s">
        <v>147</v>
      </c>
      <c r="D71" s="2">
        <f t="shared" si="11"/>
        <v>41</v>
      </c>
      <c r="E71" t="s">
        <v>14</v>
      </c>
      <c r="F71">
        <v>0</v>
      </c>
      <c r="G71" t="s">
        <v>14</v>
      </c>
    </row>
    <row r="72" spans="1:8" x14ac:dyDescent="0.25">
      <c r="A72" t="s">
        <v>499</v>
      </c>
      <c r="B72" t="s">
        <v>127</v>
      </c>
      <c r="C72" t="s">
        <v>148</v>
      </c>
      <c r="D72" s="2">
        <f t="shared" si="11"/>
        <v>37</v>
      </c>
      <c r="E72" t="s">
        <v>14</v>
      </c>
      <c r="F72">
        <v>0</v>
      </c>
      <c r="G72" t="s">
        <v>14</v>
      </c>
    </row>
    <row r="73" spans="1:8" x14ac:dyDescent="0.25">
      <c r="A73" t="s">
        <v>495</v>
      </c>
      <c r="B73" t="s">
        <v>127</v>
      </c>
      <c r="C73" t="s">
        <v>149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496</v>
      </c>
      <c r="B74" t="s">
        <v>127</v>
      </c>
      <c r="C74" t="s">
        <v>150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497</v>
      </c>
      <c r="B75" t="s">
        <v>127</v>
      </c>
      <c r="C75" t="s">
        <v>151</v>
      </c>
      <c r="D75" s="2">
        <f t="shared" si="11"/>
        <v>28</v>
      </c>
      <c r="E75" t="s">
        <v>14</v>
      </c>
      <c r="F75">
        <v>0</v>
      </c>
      <c r="G75" t="s">
        <v>14</v>
      </c>
    </row>
    <row r="76" spans="1:8" x14ac:dyDescent="0.25">
      <c r="A76" t="s">
        <v>498</v>
      </c>
      <c r="B76" t="s">
        <v>127</v>
      </c>
      <c r="C76" t="s">
        <v>152</v>
      </c>
      <c r="D76" s="2">
        <f t="shared" si="11"/>
        <v>26</v>
      </c>
      <c r="E76" t="s">
        <v>14</v>
      </c>
      <c r="F76">
        <v>0</v>
      </c>
      <c r="G76" t="s">
        <v>14</v>
      </c>
    </row>
    <row r="77" spans="1:8" x14ac:dyDescent="0.25">
      <c r="A77" t="s">
        <v>595</v>
      </c>
      <c r="B77" t="s">
        <v>127</v>
      </c>
      <c r="C77" t="s">
        <v>153</v>
      </c>
      <c r="D77" s="2">
        <f t="shared" si="11"/>
        <v>39</v>
      </c>
      <c r="E77" t="s">
        <v>14</v>
      </c>
      <c r="F77">
        <v>0</v>
      </c>
      <c r="G77" t="s">
        <v>14</v>
      </c>
    </row>
    <row r="78" spans="1:8" x14ac:dyDescent="0.25">
      <c r="A78" t="s">
        <v>596</v>
      </c>
      <c r="B78" t="s">
        <v>127</v>
      </c>
      <c r="C78" t="s">
        <v>154</v>
      </c>
      <c r="D78" s="2">
        <f t="shared" si="11"/>
        <v>37</v>
      </c>
      <c r="E78" t="s">
        <v>14</v>
      </c>
      <c r="F78">
        <v>0</v>
      </c>
      <c r="G78" t="s">
        <v>14</v>
      </c>
    </row>
    <row r="79" spans="1:8" x14ac:dyDescent="0.25">
      <c r="A79" t="s">
        <v>597</v>
      </c>
      <c r="B79" t="s">
        <v>127</v>
      </c>
      <c r="C79" t="s">
        <v>155</v>
      </c>
      <c r="D79" s="2">
        <f t="shared" si="11"/>
        <v>37</v>
      </c>
      <c r="E79" t="s">
        <v>14</v>
      </c>
      <c r="F79">
        <v>0</v>
      </c>
      <c r="G79" t="s">
        <v>14</v>
      </c>
    </row>
    <row r="80" spans="1:8" x14ac:dyDescent="0.25">
      <c r="A80" t="s">
        <v>598</v>
      </c>
      <c r="B80" t="s">
        <v>127</v>
      </c>
      <c r="C80" t="s">
        <v>156</v>
      </c>
      <c r="D80" s="2">
        <f t="shared" si="11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599</v>
      </c>
      <c r="B81" t="s">
        <v>127</v>
      </c>
      <c r="C81" t="s">
        <v>157</v>
      </c>
      <c r="D81" s="2">
        <f t="shared" si="11"/>
        <v>44</v>
      </c>
      <c r="E81" t="s">
        <v>14</v>
      </c>
      <c r="F81">
        <v>0</v>
      </c>
      <c r="G81" t="s">
        <v>14</v>
      </c>
    </row>
    <row r="82" spans="1:8" x14ac:dyDescent="0.25">
      <c r="A82" t="s">
        <v>600</v>
      </c>
      <c r="B82" t="s">
        <v>127</v>
      </c>
      <c r="C82" t="s">
        <v>158</v>
      </c>
      <c r="D82" s="2">
        <f t="shared" si="11"/>
        <v>44</v>
      </c>
      <c r="E82" t="s">
        <v>14</v>
      </c>
      <c r="F82">
        <v>0</v>
      </c>
      <c r="G82" t="s">
        <v>14</v>
      </c>
    </row>
    <row r="83" spans="1:8" x14ac:dyDescent="0.25">
      <c r="A83" t="s">
        <v>601</v>
      </c>
      <c r="B83" t="s">
        <v>127</v>
      </c>
      <c r="C83" t="s">
        <v>159</v>
      </c>
      <c r="D83" s="2">
        <f t="shared" si="11"/>
        <v>38</v>
      </c>
      <c r="E83" t="s">
        <v>14</v>
      </c>
      <c r="F83">
        <v>0</v>
      </c>
      <c r="G83" t="s">
        <v>14</v>
      </c>
    </row>
    <row r="84" spans="1:8" x14ac:dyDescent="0.25">
      <c r="A84" t="s">
        <v>602</v>
      </c>
      <c r="B84" t="s">
        <v>127</v>
      </c>
      <c r="C84" t="s">
        <v>160</v>
      </c>
      <c r="D84" s="2">
        <f t="shared" si="11"/>
        <v>37</v>
      </c>
      <c r="E84" t="s">
        <v>14</v>
      </c>
      <c r="F84">
        <v>0</v>
      </c>
      <c r="G84" t="s">
        <v>14</v>
      </c>
    </row>
    <row r="85" spans="1:8" x14ac:dyDescent="0.25">
      <c r="A85" t="s">
        <v>500</v>
      </c>
      <c r="B85" t="s">
        <v>127</v>
      </c>
      <c r="C85" t="s">
        <v>161</v>
      </c>
      <c r="D85" s="2">
        <f t="shared" si="11"/>
        <v>44</v>
      </c>
      <c r="E85" t="s">
        <v>14</v>
      </c>
      <c r="F85">
        <v>0</v>
      </c>
      <c r="G85" t="s">
        <v>14</v>
      </c>
    </row>
    <row r="86" spans="1:8" x14ac:dyDescent="0.25">
      <c r="A86" t="s">
        <v>559</v>
      </c>
      <c r="B86" t="s">
        <v>16</v>
      </c>
      <c r="C86" t="s">
        <v>17</v>
      </c>
      <c r="D86" s="2">
        <f t="shared" si="11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8" x14ac:dyDescent="0.25">
      <c r="A87" t="s">
        <v>163</v>
      </c>
      <c r="B87" t="s">
        <v>127</v>
      </c>
      <c r="C87" t="s">
        <v>164</v>
      </c>
      <c r="D87" s="2">
        <f t="shared" si="11"/>
        <v>38</v>
      </c>
      <c r="E87" t="s">
        <v>14</v>
      </c>
      <c r="F87">
        <v>0</v>
      </c>
      <c r="G87" t="s">
        <v>14</v>
      </c>
    </row>
    <row r="88" spans="1:8" x14ac:dyDescent="0.25">
      <c r="A88" t="s">
        <v>165</v>
      </c>
      <c r="B88" t="s">
        <v>16</v>
      </c>
      <c r="C88" t="s">
        <v>17</v>
      </c>
      <c r="D88" s="2">
        <f t="shared" si="11"/>
        <v>7</v>
      </c>
      <c r="E88" t="s">
        <v>53</v>
      </c>
    </row>
    <row r="89" spans="1:8" x14ac:dyDescent="0.25">
      <c r="A89" t="s">
        <v>166</v>
      </c>
      <c r="B89" t="s">
        <v>127</v>
      </c>
      <c r="C89" t="s">
        <v>167</v>
      </c>
      <c r="D89" s="2">
        <f t="shared" si="11"/>
        <v>29</v>
      </c>
    </row>
    <row r="90" spans="1:8" x14ac:dyDescent="0.25">
      <c r="D90" s="2">
        <f t="shared" si="11"/>
        <v>0</v>
      </c>
    </row>
  </sheetData>
  <conditionalFormatting sqref="D3:D4 D6:D27 D34:D46 D53:D90">
    <cfRule type="cellIs" dxfId="185" priority="4" operator="greaterThan">
      <formula>49</formula>
    </cfRule>
  </conditionalFormatting>
  <conditionalFormatting sqref="D30:D32">
    <cfRule type="cellIs" dxfId="184" priority="3" operator="greaterThan">
      <formula>49</formula>
    </cfRule>
  </conditionalFormatting>
  <conditionalFormatting sqref="D48:D52">
    <cfRule type="cellIs" dxfId="183" priority="2" operator="greaterThan">
      <formula>49</formula>
    </cfRule>
  </conditionalFormatting>
  <conditionalFormatting sqref="D28">
    <cfRule type="cellIs" dxfId="182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5"/>
  <sheetViews>
    <sheetView view="pageBreakPreview" topLeftCell="A47" zoomScale="80" zoomScaleNormal="100" zoomScaleSheetLayoutView="80" workbookViewId="0">
      <selection activeCell="K70" sqref="K70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9.570312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429</v>
      </c>
      <c r="B3" s="4" t="str">
        <f>BXXPLC1!A5</f>
        <v>BXX</v>
      </c>
      <c r="C3" s="3" t="s">
        <v>328</v>
      </c>
      <c r="D3" s="2">
        <f>LEN(C3)</f>
        <v>12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BXX_OVF1_FI1_DI_AD</v>
      </c>
      <c r="B6" s="4" t="str">
        <f>$A$4</f>
        <v>BXX_DSAB</v>
      </c>
      <c r="C6" s="4" t="str">
        <f>$C$3 &amp; " Disabled Analog Alarm"</f>
        <v>BXX Overflow Disabled Analog Alarm</v>
      </c>
      <c r="D6" s="2">
        <f>LEN(C6)</f>
        <v>34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BXX_OVF1_FI1.DI_AD</v>
      </c>
      <c r="R6" t="s">
        <v>14</v>
      </c>
      <c r="S6" s="4" t="str">
        <f>C6</f>
        <v>BXX Overflow Disabled Analog Alarm</v>
      </c>
      <c r="T6">
        <v>0</v>
      </c>
      <c r="U6">
        <v>0</v>
      </c>
    </row>
    <row r="7" spans="1:23" x14ac:dyDescent="0.25">
      <c r="A7" s="4" t="str">
        <f>$A$3&amp;"_DI_SC"</f>
        <v>BXX_OVF1_FI1_DI_SC</v>
      </c>
      <c r="B7" s="4" t="str">
        <f>$A$3</f>
        <v>BXX_OVF1_FI1</v>
      </c>
      <c r="C7" s="4" t="str">
        <f>$C$3 &amp; " Scan Status"</f>
        <v>BXX Overflow Scan Status</v>
      </c>
      <c r="D7" s="2">
        <f t="shared" ref="D7:D29" si="0">LEN(C7)</f>
        <v>24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BXX_OVF1_FI1.DI_SC</v>
      </c>
      <c r="R7" t="s">
        <v>14</v>
      </c>
      <c r="S7" s="4" t="str">
        <f t="shared" ref="S7:S29" si="1">C7</f>
        <v>BXX Overflow Scan Status</v>
      </c>
      <c r="T7">
        <v>0</v>
      </c>
      <c r="U7">
        <v>0</v>
      </c>
    </row>
    <row r="8" spans="1:23" x14ac:dyDescent="0.25">
      <c r="A8" s="4" t="str">
        <f>$A$3&amp;"_DA_LL"</f>
        <v>BXX_OVF1_FI1_DA_LL</v>
      </c>
      <c r="B8" s="4" t="str">
        <f t="shared" ref="B8:B29" si="2">$A$3</f>
        <v>BXX_OVF1_FI1</v>
      </c>
      <c r="C8" s="4" t="str">
        <f>$C$3 &amp; " LOLO Alarm"</f>
        <v>BXX Overflow LOLO Alarm</v>
      </c>
      <c r="D8" s="2">
        <f t="shared" si="0"/>
        <v>23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9" si="3">$O$6</f>
        <v>BXX</v>
      </c>
      <c r="P8" t="s">
        <v>14</v>
      </c>
      <c r="Q8" s="4" t="str">
        <f>$A$3&amp;".DA_LL"</f>
        <v>BXX_OVF1_FI1.DA_LL</v>
      </c>
      <c r="R8" t="s">
        <v>14</v>
      </c>
      <c r="S8" s="4" t="str">
        <f t="shared" si="1"/>
        <v>BXX Overflow LOLO Alarm</v>
      </c>
      <c r="T8">
        <v>0</v>
      </c>
      <c r="U8">
        <v>0</v>
      </c>
    </row>
    <row r="9" spans="1:23" x14ac:dyDescent="0.25">
      <c r="A9" s="4" t="str">
        <f>$A$3&amp;"_DA_ER"</f>
        <v>BXX_OVF1_FI1_DA_ER</v>
      </c>
      <c r="B9" s="4" t="str">
        <f t="shared" si="2"/>
        <v>BXX_OVF1_FI1</v>
      </c>
      <c r="C9" s="4" t="str">
        <f>$C$3 &amp; " Signal Error Alarm"</f>
        <v>BXX Overflow Signal Error Alarm</v>
      </c>
      <c r="D9" s="2">
        <f t="shared" si="0"/>
        <v>31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BXX_OVF1_FI1.DA_ER</v>
      </c>
      <c r="R9" t="s">
        <v>14</v>
      </c>
      <c r="S9" s="4" t="str">
        <f t="shared" si="1"/>
        <v>BXX Overflow Signal Error Alarm</v>
      </c>
      <c r="T9">
        <v>0</v>
      </c>
      <c r="U9">
        <v>0</v>
      </c>
    </row>
    <row r="10" spans="1:23" x14ac:dyDescent="0.25">
      <c r="A10" s="4" t="str">
        <f>$A$3&amp;"_PB_SM"</f>
        <v>BXX_OVF1_FI1_PB_SM</v>
      </c>
      <c r="B10" s="4" t="str">
        <f t="shared" si="2"/>
        <v>BXX_OVF1_FI1</v>
      </c>
      <c r="C10" s="4" t="str">
        <f>$C$3 &amp; " Alarm Test"</f>
        <v>BXX Overflow Alarm Test</v>
      </c>
      <c r="D10" s="2">
        <f t="shared" si="0"/>
        <v>23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BXX_OVF1_FI1.PB_SM</v>
      </c>
      <c r="R10" t="s">
        <v>14</v>
      </c>
      <c r="S10" s="4" t="str">
        <f t="shared" si="1"/>
        <v>BXX Overflow Alarm Test</v>
      </c>
      <c r="T10">
        <v>0</v>
      </c>
      <c r="U10">
        <v>0</v>
      </c>
    </row>
    <row r="11" spans="1:23" x14ac:dyDescent="0.25">
      <c r="A11" s="4" t="str">
        <f>$A$3&amp;"_PB_SV"</f>
        <v>BXX_OVF1_FI1_PB_SV</v>
      </c>
      <c r="B11" s="4" t="str">
        <f t="shared" si="2"/>
        <v>BXX_OVF1_FI1</v>
      </c>
      <c r="C11" s="4" t="str">
        <f>$C$3 &amp; " Override Enable"</f>
        <v>BXX Overflow Override Enable</v>
      </c>
      <c r="D11" s="2">
        <f t="shared" si="0"/>
        <v>28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BXX_OVF1_FI1.PB_SV</v>
      </c>
      <c r="R11" t="s">
        <v>14</v>
      </c>
      <c r="S11" s="4" t="str">
        <f t="shared" si="1"/>
        <v>BXX Overflow Override Enable</v>
      </c>
      <c r="T11">
        <v>0</v>
      </c>
      <c r="U11">
        <v>0</v>
      </c>
    </row>
    <row r="12" spans="1:23" x14ac:dyDescent="0.25">
      <c r="A12" s="4" t="str">
        <f>$A$3&amp;"_PB_AE"</f>
        <v>BXX_OVF1_FI1_PB_AE</v>
      </c>
      <c r="B12" s="4" t="str">
        <f t="shared" si="2"/>
        <v>BXX_OVF1_FI1</v>
      </c>
      <c r="C12" s="4" t="str">
        <f>$C$3 &amp; " Alarm Enable"</f>
        <v>BXX Overflow Alarm Enable</v>
      </c>
      <c r="D12" s="2">
        <f t="shared" si="0"/>
        <v>25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BXX_OVF1_FI1.PB_AE.RE</v>
      </c>
      <c r="R12" t="s">
        <v>14</v>
      </c>
      <c r="S12" s="4" t="str">
        <f t="shared" si="1"/>
        <v>BXX Overflow Alarm Enable</v>
      </c>
      <c r="T12">
        <v>0</v>
      </c>
      <c r="U12">
        <v>0</v>
      </c>
    </row>
    <row r="13" spans="1:23" x14ac:dyDescent="0.25">
      <c r="A13" s="4" t="str">
        <f>$A$3&amp;"_PB_HI"</f>
        <v>BXX_OVF1_FI1_PB_HI</v>
      </c>
      <c r="B13" s="4" t="str">
        <f t="shared" si="2"/>
        <v>BXX_OVF1_FI1</v>
      </c>
      <c r="C13" s="4" t="str">
        <f>$C$3 &amp; " High Alarm Enable"</f>
        <v>BXX Overflow High Alarm Enable</v>
      </c>
      <c r="D13" s="2">
        <f t="shared" si="0"/>
        <v>30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BXX_OVF1_FI1.PB_HI.RE</v>
      </c>
      <c r="R13" t="s">
        <v>14</v>
      </c>
      <c r="S13" s="4" t="str">
        <f t="shared" si="1"/>
        <v>BXX Overflow High Alarm Enable</v>
      </c>
      <c r="T13">
        <v>0</v>
      </c>
      <c r="U13">
        <v>0</v>
      </c>
    </row>
    <row r="14" spans="1:23" x14ac:dyDescent="0.25">
      <c r="A14" s="4" t="str">
        <f>$A$3&amp;"_PB_LO"</f>
        <v>BXX_OVF1_FI1_PB_LO</v>
      </c>
      <c r="B14" s="4" t="str">
        <f t="shared" si="2"/>
        <v>BXX_OVF1_FI1</v>
      </c>
      <c r="C14" s="4" t="str">
        <f>$C$3 &amp; " Low Alarm Enable"</f>
        <v>BXX Overflow Low Alarm Enable</v>
      </c>
      <c r="D14" s="2">
        <f t="shared" si="0"/>
        <v>29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BXX_OVF1_FI1.PB_LO.RE</v>
      </c>
      <c r="R14" t="s">
        <v>14</v>
      </c>
      <c r="S14" s="4" t="str">
        <f t="shared" si="1"/>
        <v>BXX Overflow Low Alarm Enable</v>
      </c>
      <c r="T14">
        <v>0</v>
      </c>
      <c r="U14">
        <v>0</v>
      </c>
    </row>
    <row r="15" spans="1:23" x14ac:dyDescent="0.25">
      <c r="A15" s="4" t="str">
        <f>$A$3&amp;"_PB_LL"</f>
        <v>BXX_OVF1_FI1_PB_LL</v>
      </c>
      <c r="B15" s="4" t="str">
        <f t="shared" si="2"/>
        <v>BXX_OVF1_FI1</v>
      </c>
      <c r="C15" s="4" t="str">
        <f>$C$3 &amp; " LOLO Alarm Enable"</f>
        <v>BXX Overflow LOLO Alarm Enable</v>
      </c>
      <c r="D15" s="2">
        <f t="shared" si="0"/>
        <v>30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BXX_OVF1_FI1.PB_LL.RE</v>
      </c>
      <c r="R15" t="s">
        <v>14</v>
      </c>
      <c r="S15" s="4" t="str">
        <f t="shared" si="1"/>
        <v>BXX Overflow LOLO Alarm Enable</v>
      </c>
      <c r="T15">
        <v>0</v>
      </c>
      <c r="U15">
        <v>0</v>
      </c>
    </row>
    <row r="16" spans="1:23" x14ac:dyDescent="0.25">
      <c r="A16" s="4" t="str">
        <f>$A$3&amp;"_PB_ER"</f>
        <v>BXX_OVF1_FI1_PB_ER</v>
      </c>
      <c r="B16" s="4" t="str">
        <f t="shared" si="2"/>
        <v>BXX_OVF1_FI1</v>
      </c>
      <c r="C16" s="4" t="str">
        <f>$C$3 &amp; " Signal Error Alarm En"</f>
        <v>BXX Overflow Signal Error Alarm En</v>
      </c>
      <c r="D16" s="2">
        <f t="shared" si="0"/>
        <v>34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BXX_OVF1_FI1.PB_ER.RE</v>
      </c>
      <c r="R16" t="s">
        <v>14</v>
      </c>
      <c r="S16" s="4" t="str">
        <f t="shared" si="1"/>
        <v>BXX Overflow Signal Error Alarm En</v>
      </c>
      <c r="T16">
        <v>0</v>
      </c>
      <c r="U16">
        <v>0</v>
      </c>
    </row>
    <row r="17" spans="1:64" x14ac:dyDescent="0.25">
      <c r="A17" s="4" t="str">
        <f>$A$3&amp;"_PB_SC"</f>
        <v>BXX_OVF1_FI1_PB_SC</v>
      </c>
      <c r="B17" s="4" t="str">
        <f t="shared" si="2"/>
        <v>BXX_OVF1_FI1</v>
      </c>
      <c r="C17" s="4" t="str">
        <f>$C$3 &amp; " Scan Enable"</f>
        <v>BXX Overflow Scan Enable</v>
      </c>
      <c r="D17" s="2">
        <f t="shared" si="0"/>
        <v>24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BXX_OVF1_FI1.PB_SC</v>
      </c>
      <c r="R17" t="s">
        <v>14</v>
      </c>
      <c r="S17" s="4" t="str">
        <f t="shared" si="1"/>
        <v>BXX Overflow Scan Enable</v>
      </c>
      <c r="T17">
        <v>0</v>
      </c>
      <c r="U17">
        <v>0</v>
      </c>
    </row>
    <row r="18" spans="1:64" x14ac:dyDescent="0.25">
      <c r="A18" s="4" t="str">
        <f>$A$3&amp;"_DA_HH"</f>
        <v>BXX_OVF1_FI1_DA_HH</v>
      </c>
      <c r="B18" s="4" t="str">
        <f t="shared" si="2"/>
        <v>BXX_OVF1_FI1</v>
      </c>
      <c r="C18" s="4" t="str">
        <f>$C$3 &amp; " HIHI Alarm"</f>
        <v>BXX Overflow HIHI Alarm</v>
      </c>
      <c r="D18" s="2">
        <f t="shared" si="0"/>
        <v>23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BXX_OVF1_FI1.DA_HH</v>
      </c>
      <c r="R18" t="s">
        <v>14</v>
      </c>
      <c r="S18" s="4" t="str">
        <f t="shared" si="1"/>
        <v>BXX Overflow HIHI Alarm</v>
      </c>
      <c r="T18">
        <v>0</v>
      </c>
      <c r="U18">
        <v>0</v>
      </c>
    </row>
    <row r="19" spans="1:64" x14ac:dyDescent="0.25">
      <c r="A19" s="4" t="str">
        <f>$A$3&amp;"_DA_HI"</f>
        <v>BXX_OVF1_FI1_DA_HI</v>
      </c>
      <c r="B19" s="4" t="str">
        <f t="shared" si="2"/>
        <v>BXX_OVF1_FI1</v>
      </c>
      <c r="C19" s="4" t="str">
        <f>$C$3 &amp; " HI Alarm"</f>
        <v>BXX Overflow HI Alarm</v>
      </c>
      <c r="D19" s="2">
        <f t="shared" si="0"/>
        <v>21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BXX_OVF1_FI1.DA_HI</v>
      </c>
      <c r="R19" t="s">
        <v>14</v>
      </c>
      <c r="S19" s="4" t="str">
        <f t="shared" si="1"/>
        <v>BXX Overflow HI Alarm</v>
      </c>
      <c r="T19">
        <v>0</v>
      </c>
      <c r="U19">
        <v>0</v>
      </c>
    </row>
    <row r="20" spans="1:64" x14ac:dyDescent="0.25">
      <c r="A20" s="4" t="str">
        <f>$A$3&amp;"_PB_HH"</f>
        <v>BXX_OVF1_FI1_PB_HH</v>
      </c>
      <c r="B20" s="4" t="str">
        <f t="shared" si="2"/>
        <v>BXX_OVF1_FI1</v>
      </c>
      <c r="C20" s="4" t="str">
        <f>$C$3 &amp; " HIHI Alarm Enable"</f>
        <v>BXX Overflow HIHI Alarm Enable</v>
      </c>
      <c r="D20" s="2">
        <f t="shared" si="0"/>
        <v>30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BXX_OVF1_FI1.PB_HH.RE</v>
      </c>
      <c r="R20" t="s">
        <v>14</v>
      </c>
      <c r="S20" s="4" t="str">
        <f t="shared" si="1"/>
        <v>BXX Overflow HIHI Alarm Enable</v>
      </c>
      <c r="T20">
        <v>0</v>
      </c>
      <c r="U20">
        <v>0</v>
      </c>
    </row>
    <row r="21" spans="1:64" x14ac:dyDescent="0.25">
      <c r="A21" s="4" t="str">
        <f>$A$3&amp;"_PB_AR"</f>
        <v>BXX_OVF1_FI1_PB_AR</v>
      </c>
      <c r="B21" s="4" t="str">
        <f t="shared" si="2"/>
        <v>BXX_OVF1_FI1</v>
      </c>
      <c r="C21" s="4" t="str">
        <f>$C$3 &amp; " Alarm Reset"</f>
        <v>BXX Overflow Alarm Reset</v>
      </c>
      <c r="D21" s="2">
        <f t="shared" si="0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BXX_OVF1_FI1.PB_AR</v>
      </c>
      <c r="R21" t="s">
        <v>14</v>
      </c>
      <c r="S21" s="4" t="str">
        <f t="shared" si="1"/>
        <v>BXX Overflow Alarm Reset</v>
      </c>
      <c r="T21">
        <v>0</v>
      </c>
      <c r="U21">
        <v>0</v>
      </c>
    </row>
    <row r="22" spans="1:64" x14ac:dyDescent="0.25">
      <c r="A22" s="4" t="str">
        <f>$A$3&amp;"_DA_LO"</f>
        <v>BXX_OVF1_FI1_DA_LO</v>
      </c>
      <c r="B22" s="4" t="str">
        <f t="shared" si="2"/>
        <v>BXX_OVF1_FI1</v>
      </c>
      <c r="C22" s="4" t="str">
        <f>$C$3 &amp; " LO Alarm"</f>
        <v>BXX Overflow LO Alarm</v>
      </c>
      <c r="D22" s="2">
        <f t="shared" si="0"/>
        <v>21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BXX_OVF1_FI1.DA_LO</v>
      </c>
      <c r="R22" t="s">
        <v>14</v>
      </c>
      <c r="S22" s="4" t="str">
        <f t="shared" si="1"/>
        <v>BXX Overflow LO Alarm</v>
      </c>
      <c r="T22">
        <v>0</v>
      </c>
      <c r="U22">
        <v>0</v>
      </c>
    </row>
    <row r="23" spans="1:64" x14ac:dyDescent="0.25">
      <c r="A23" s="4" t="str">
        <f>$A$3&amp;"_PB_ER_DE"</f>
        <v>BXX_OVF1_FI1_PB_ER_DE</v>
      </c>
      <c r="B23" s="4" t="str">
        <f t="shared" si="2"/>
        <v>BXX_OVF1_FI1</v>
      </c>
      <c r="C23" s="4" t="str">
        <f>$C$3 &amp; " Signal Error Alarm Dialer En"</f>
        <v>BXX Overflow Signal Error Alarm Dialer En</v>
      </c>
      <c r="D23" s="2">
        <f t="shared" si="0"/>
        <v>41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$A$3&amp;".PB_ER.DE"</f>
        <v>BXX_OVF1_FI1.PB_ER.DE</v>
      </c>
      <c r="R23" t="s">
        <v>14</v>
      </c>
      <c r="S23" s="4" t="str">
        <f t="shared" si="1"/>
        <v>BXX Overflow Signal Error Alarm Dialer En</v>
      </c>
      <c r="T23">
        <v>0</v>
      </c>
      <c r="U23">
        <v>0</v>
      </c>
    </row>
    <row r="24" spans="1:64" x14ac:dyDescent="0.25">
      <c r="A24" s="4" t="str">
        <f>$A$3&amp;"_PB_HH_DE"</f>
        <v>BXX_OVF1_FI1_PB_HH_DE</v>
      </c>
      <c r="B24" s="4" t="str">
        <f t="shared" si="2"/>
        <v>BXX_OVF1_FI1</v>
      </c>
      <c r="C24" s="4" t="str">
        <f>$C$3 &amp; " HIHI Alarm Dialer Enable"</f>
        <v>BXX Overflow HIHI Alarm Dialer Enable</v>
      </c>
      <c r="D24" s="2">
        <f t="shared" si="0"/>
        <v>37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$A$3&amp;".PB_HH.DE"</f>
        <v>BXX_OVF1_FI1.PB_HH.DE</v>
      </c>
      <c r="R24" t="s">
        <v>14</v>
      </c>
      <c r="S24" s="4" t="str">
        <f t="shared" si="1"/>
        <v>BXX Overflow HIHI Alarm Dialer Enable</v>
      </c>
      <c r="T24">
        <v>0</v>
      </c>
      <c r="U24">
        <v>0</v>
      </c>
    </row>
    <row r="25" spans="1:64" x14ac:dyDescent="0.25">
      <c r="A25" s="4" t="str">
        <f>$A$3&amp;"_PB_ER_SR"</f>
        <v>BXX_OVF1_FI1_PB_ER_SR</v>
      </c>
      <c r="B25" s="4" t="str">
        <f t="shared" si="2"/>
        <v>BXX_OVF1_FI1</v>
      </c>
      <c r="C25" s="4" t="str">
        <f>$C$3 &amp; " Signal Error Alarm Sup En"</f>
        <v>BXX Overflow Signal Error Alarm Sup En</v>
      </c>
      <c r="D25" s="2">
        <f t="shared" si="0"/>
        <v>38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$A$3&amp;".PB_ER.SR"</f>
        <v>BXX_OVF1_FI1.PB_ER.SR</v>
      </c>
      <c r="R25" t="s">
        <v>14</v>
      </c>
      <c r="S25" s="4" t="str">
        <f t="shared" si="1"/>
        <v>BXX Overflow Signal Error Alarm Sup En</v>
      </c>
      <c r="T25">
        <v>0</v>
      </c>
      <c r="U25">
        <v>0</v>
      </c>
    </row>
    <row r="26" spans="1:64" x14ac:dyDescent="0.25">
      <c r="A26" s="4" t="str">
        <f>$A$3&amp;"_PB_HH_SR"</f>
        <v>BXX_OVF1_FI1_PB_HH_SR</v>
      </c>
      <c r="B26" s="4" t="str">
        <f t="shared" si="2"/>
        <v>BXX_OVF1_FI1</v>
      </c>
      <c r="C26" s="4" t="str">
        <f>$C$3 &amp; " HIHI Alarm Sup Enable"</f>
        <v>BXX Overflow HIHI Alarm Sup Enable</v>
      </c>
      <c r="D26" s="2">
        <f t="shared" si="0"/>
        <v>34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$A$3&amp;".PB_HH.SR"</f>
        <v>BXX_OVF1_FI1.PB_HH.SR</v>
      </c>
      <c r="R26" t="s">
        <v>14</v>
      </c>
      <c r="S26" s="4" t="str">
        <f t="shared" si="1"/>
        <v>BXX Overflow HIHI Alarm Sup Enable</v>
      </c>
      <c r="T26">
        <v>0</v>
      </c>
      <c r="U26">
        <v>0</v>
      </c>
    </row>
    <row r="27" spans="1:64" x14ac:dyDescent="0.25">
      <c r="A27" s="4" t="str">
        <f>$A$3&amp;"_DI_SS"</f>
        <v>BXX_OVF1_FI1_DI_SS</v>
      </c>
      <c r="B27" s="4" t="str">
        <f t="shared" si="2"/>
        <v>BXX_OVF1_FI1</v>
      </c>
      <c r="C27" s="4" t="str">
        <f>$C$3 &amp; " Event"</f>
        <v>BXX Overflow Event</v>
      </c>
      <c r="D27" s="2">
        <f t="shared" si="0"/>
        <v>18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62</v>
      </c>
      <c r="K27" t="s">
        <v>305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(LEFT($A$3,7))&amp;"TL1.DI_SS"</f>
        <v>BXX_OVFTL1.DI_SS</v>
      </c>
      <c r="R27" t="s">
        <v>14</v>
      </c>
      <c r="S27" s="4" t="str">
        <f t="shared" si="1"/>
        <v>BXX Overflow Event</v>
      </c>
      <c r="T27">
        <v>0</v>
      </c>
      <c r="U27">
        <v>0</v>
      </c>
    </row>
    <row r="28" spans="1:64" x14ac:dyDescent="0.25">
      <c r="A28" s="4" t="str">
        <f>$A$3&amp;"_DA_SS"</f>
        <v>BXX_OVF1_FI1_DA_SS</v>
      </c>
      <c r="B28" s="4" t="str">
        <f t="shared" si="2"/>
        <v>BXX_OVF1_FI1</v>
      </c>
      <c r="C28" s="4" t="str">
        <f>$C$3 &amp; " Alarm"</f>
        <v>BXX Overflow Alarm</v>
      </c>
      <c r="D28" s="2">
        <f t="shared" si="0"/>
        <v>18</v>
      </c>
      <c r="E28" t="s">
        <v>14</v>
      </c>
      <c r="F28" t="s">
        <v>14</v>
      </c>
      <c r="G28">
        <v>0</v>
      </c>
      <c r="H28" t="s">
        <v>13</v>
      </c>
      <c r="I28" t="s">
        <v>54</v>
      </c>
      <c r="J28" t="s">
        <v>62</v>
      </c>
      <c r="K28" t="s">
        <v>119</v>
      </c>
      <c r="L28" t="s">
        <v>61</v>
      </c>
      <c r="M28" s="5">
        <v>9</v>
      </c>
      <c r="N28" t="s">
        <v>57</v>
      </c>
      <c r="O28" s="4" t="str">
        <f t="shared" si="3"/>
        <v>BXX</v>
      </c>
      <c r="P28" t="s">
        <v>14</v>
      </c>
      <c r="Q28" s="4" t="str">
        <f>(LEFT($A$3,7))&amp;"TL1.DA_SS"</f>
        <v>BXX_OVFTL1.DA_SS</v>
      </c>
      <c r="R28" t="s">
        <v>14</v>
      </c>
      <c r="S28" s="4" t="str">
        <f t="shared" si="1"/>
        <v>BXX Overflow Alarm</v>
      </c>
      <c r="T28">
        <v>0</v>
      </c>
      <c r="U28">
        <v>0</v>
      </c>
    </row>
    <row r="29" spans="1:64" x14ac:dyDescent="0.25">
      <c r="A29" s="4" t="str">
        <f>$A$3&amp;"_PB_RS"</f>
        <v>BXX_OVF1_FI1_PB_RS</v>
      </c>
      <c r="B29" s="4" t="str">
        <f t="shared" si="2"/>
        <v>BXX_OVF1_FI1</v>
      </c>
      <c r="C29" s="4" t="str">
        <f>$C$3 &amp; " Manual Reset"</f>
        <v>BXX Overflow Manual Reset</v>
      </c>
      <c r="D29" s="2">
        <f t="shared" si="0"/>
        <v>25</v>
      </c>
      <c r="E29" t="s">
        <v>14</v>
      </c>
      <c r="F29" t="s">
        <v>13</v>
      </c>
      <c r="G29" s="5">
        <v>600</v>
      </c>
      <c r="H29" t="s">
        <v>13</v>
      </c>
      <c r="I29" t="s">
        <v>54</v>
      </c>
      <c r="J29" t="s">
        <v>54</v>
      </c>
      <c r="K29" t="s">
        <v>184</v>
      </c>
      <c r="L29" t="s">
        <v>56</v>
      </c>
      <c r="M29">
        <v>1</v>
      </c>
      <c r="N29" t="s">
        <v>57</v>
      </c>
      <c r="O29" s="4" t="str">
        <f t="shared" si="3"/>
        <v>BXX</v>
      </c>
      <c r="P29" t="s">
        <v>14</v>
      </c>
      <c r="Q29" s="4" t="str">
        <f>(LEFT($A$3,7))&amp;"TL1.PB_RS"</f>
        <v>BXX_OVFTL1.PB_RS</v>
      </c>
      <c r="R29" t="s">
        <v>14</v>
      </c>
      <c r="S29" s="4" t="str">
        <f t="shared" si="1"/>
        <v>BXX Overflow Manual Reset</v>
      </c>
      <c r="T29">
        <v>0</v>
      </c>
      <c r="U29">
        <v>0</v>
      </c>
    </row>
    <row r="30" spans="1:64" x14ac:dyDescent="0.25">
      <c r="A30" t="s">
        <v>120</v>
      </c>
      <c r="B30" t="s">
        <v>16</v>
      </c>
      <c r="C30" t="s">
        <v>17</v>
      </c>
      <c r="E30" t="s">
        <v>39</v>
      </c>
      <c r="F30" t="s">
        <v>18</v>
      </c>
      <c r="G30" t="s">
        <v>19</v>
      </c>
      <c r="H30" t="s">
        <v>40</v>
      </c>
      <c r="I30" t="s">
        <v>71</v>
      </c>
      <c r="J30" t="s">
        <v>72</v>
      </c>
      <c r="K30" t="s">
        <v>73</v>
      </c>
      <c r="L30" t="s">
        <v>74</v>
      </c>
      <c r="M30" t="s">
        <v>75</v>
      </c>
      <c r="N30" t="s">
        <v>76</v>
      </c>
      <c r="O30" t="s">
        <v>77</v>
      </c>
      <c r="P30" t="s">
        <v>78</v>
      </c>
      <c r="Q30" t="s">
        <v>79</v>
      </c>
      <c r="R30" t="s">
        <v>80</v>
      </c>
      <c r="S30" t="s">
        <v>81</v>
      </c>
      <c r="T30" t="s">
        <v>82</v>
      </c>
      <c r="U30" t="s">
        <v>83</v>
      </c>
      <c r="V30" t="s">
        <v>84</v>
      </c>
      <c r="W30" t="s">
        <v>85</v>
      </c>
      <c r="X30" t="s">
        <v>86</v>
      </c>
      <c r="Y30" t="s">
        <v>87</v>
      </c>
      <c r="Z30" t="s">
        <v>88</v>
      </c>
      <c r="AA30" t="s">
        <v>89</v>
      </c>
      <c r="AB30" t="s">
        <v>90</v>
      </c>
      <c r="AC30" t="s">
        <v>91</v>
      </c>
      <c r="AD30" t="s">
        <v>92</v>
      </c>
      <c r="AE30" t="s">
        <v>93</v>
      </c>
      <c r="AF30" t="s">
        <v>94</v>
      </c>
      <c r="AG30" t="s">
        <v>95</v>
      </c>
      <c r="AH30" t="s">
        <v>96</v>
      </c>
      <c r="AI30" t="s">
        <v>97</v>
      </c>
      <c r="AJ30" t="s">
        <v>98</v>
      </c>
      <c r="AK30" t="s">
        <v>99</v>
      </c>
      <c r="AL30" t="s">
        <v>100</v>
      </c>
      <c r="AM30" t="s">
        <v>101</v>
      </c>
      <c r="AN30" t="s">
        <v>102</v>
      </c>
      <c r="AO30" t="s">
        <v>103</v>
      </c>
      <c r="AP30" t="s">
        <v>104</v>
      </c>
      <c r="AQ30" t="s">
        <v>105</v>
      </c>
      <c r="AR30" t="s">
        <v>47</v>
      </c>
      <c r="AS30" t="s">
        <v>48</v>
      </c>
      <c r="AT30" t="s">
        <v>49</v>
      </c>
      <c r="AU30" t="s">
        <v>50</v>
      </c>
      <c r="AV30" t="s">
        <v>51</v>
      </c>
      <c r="AW30" t="s">
        <v>52</v>
      </c>
      <c r="AX30" t="s">
        <v>20</v>
      </c>
      <c r="AY30" t="s">
        <v>21</v>
      </c>
      <c r="AZ30" t="s">
        <v>22</v>
      </c>
      <c r="BA30" t="s">
        <v>23</v>
      </c>
      <c r="BB30" t="s">
        <v>24</v>
      </c>
      <c r="BC30" t="s">
        <v>25</v>
      </c>
      <c r="BD30" t="s">
        <v>26</v>
      </c>
      <c r="BE30" t="s">
        <v>28</v>
      </c>
      <c r="BF30" t="s">
        <v>29</v>
      </c>
      <c r="BG30" t="s">
        <v>30</v>
      </c>
      <c r="BH30" t="s">
        <v>31</v>
      </c>
      <c r="BI30" t="s">
        <v>32</v>
      </c>
      <c r="BJ30" t="s">
        <v>33</v>
      </c>
      <c r="BK30" t="s">
        <v>34</v>
      </c>
      <c r="BL30" t="s">
        <v>53</v>
      </c>
    </row>
    <row r="31" spans="1:64" x14ac:dyDescent="0.25">
      <c r="A31" s="4" t="str">
        <f>$A$3&amp;"_AI_VI"</f>
        <v>BXX_OVF1_FI1_AI_VI</v>
      </c>
      <c r="B31" s="4" t="str">
        <f t="shared" ref="B31:B47" si="4">$A$3</f>
        <v>BXX_OVF1_FI1</v>
      </c>
      <c r="C31" s="4" t="str">
        <f>$C$3 &amp; " Number of Visible Eng Values"</f>
        <v>BXX Overflow Number of Visible Eng Values</v>
      </c>
      <c r="D31" s="2">
        <f t="shared" ref="D31:D82" si="5">LEN(C31)</f>
        <v>41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>N31</f>
        <v>1</v>
      </c>
      <c r="N31">
        <v>1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>N31</f>
        <v>1</v>
      </c>
      <c r="AP31" s="4">
        <f>O31</f>
        <v>3</v>
      </c>
      <c r="AQ31" t="s">
        <v>108</v>
      </c>
      <c r="AR31" s="4" t="str">
        <f>$O$6</f>
        <v>BXX</v>
      </c>
      <c r="AS31" t="s">
        <v>14</v>
      </c>
      <c r="AT31" s="4" t="str">
        <f>$A$3&amp;".AI_VI"</f>
        <v>BXX_OVF1_FI1.AI_VI</v>
      </c>
      <c r="AU31" t="s">
        <v>14</v>
      </c>
      <c r="AV31" s="4" t="str">
        <f>C31</f>
        <v>BXX Overflow Number of Visible Eng Values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4" t="str">
        <f>$A$3&amp;"_AI_DC"</f>
        <v>BXX_OVF1_FI1_AI_DC</v>
      </c>
      <c r="B32" s="4" t="str">
        <f t="shared" si="4"/>
        <v>BXX_OVF1_FI1</v>
      </c>
      <c r="C32" s="4" t="str">
        <f>$C$3 &amp; " Precision"</f>
        <v>BXX Overflow Precision</v>
      </c>
      <c r="D32" s="2">
        <f t="shared" si="5"/>
        <v>22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M32" s="4">
        <f t="shared" ref="M32:M33" si="6">N32</f>
        <v>0</v>
      </c>
      <c r="N32">
        <v>0</v>
      </c>
      <c r="O32">
        <v>3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 s="4">
        <f t="shared" ref="AO32:AP33" si="7">N32</f>
        <v>0</v>
      </c>
      <c r="AP32" s="4">
        <f t="shared" si="7"/>
        <v>3</v>
      </c>
      <c r="AQ32" t="s">
        <v>108</v>
      </c>
      <c r="AR32" s="4" t="str">
        <f t="shared" ref="AR32:AR47" si="8">$O$6</f>
        <v>BXX</v>
      </c>
      <c r="AS32" t="s">
        <v>14</v>
      </c>
      <c r="AT32" s="4" t="str">
        <f>$A$3&amp;".AI_DC"</f>
        <v>BXX_OVF1_FI1.AI_DC</v>
      </c>
      <c r="AU32" t="s">
        <v>14</v>
      </c>
      <c r="AV32" s="4" t="str">
        <f t="shared" ref="AV32:AV47" si="9">C32</f>
        <v>BXX Overflow Precision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s="4" t="str">
        <f>$A$3&amp;"_E2_DC"</f>
        <v>BXX_OVF1_FI1_E2_DC</v>
      </c>
      <c r="B33" s="4" t="str">
        <f t="shared" si="4"/>
        <v>BXX_OVF1_FI1</v>
      </c>
      <c r="C33" s="4" t="str">
        <f>$C$3 &amp; " Eng Value 2 Precision"</f>
        <v>BXX Overflow Eng Value 2 Precision</v>
      </c>
      <c r="D33" s="2">
        <f t="shared" si="5"/>
        <v>34</v>
      </c>
      <c r="E33" t="s">
        <v>14</v>
      </c>
      <c r="F33" t="s">
        <v>13</v>
      </c>
      <c r="G33" s="5">
        <v>700</v>
      </c>
      <c r="H33" t="s">
        <v>13</v>
      </c>
      <c r="I33" t="s">
        <v>14</v>
      </c>
      <c r="J33">
        <v>0</v>
      </c>
      <c r="K33">
        <v>0</v>
      </c>
      <c r="M33" s="4">
        <f t="shared" si="6"/>
        <v>0</v>
      </c>
      <c r="N33">
        <v>0</v>
      </c>
      <c r="O33">
        <v>3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 t="shared" si="7"/>
        <v>0</v>
      </c>
      <c r="AP33" s="4">
        <f t="shared" si="7"/>
        <v>3</v>
      </c>
      <c r="AQ33" t="s">
        <v>108</v>
      </c>
      <c r="AR33" s="4" t="str">
        <f t="shared" si="8"/>
        <v>BXX</v>
      </c>
      <c r="AS33" t="s">
        <v>14</v>
      </c>
      <c r="AT33" s="4" t="str">
        <f>$A$3&amp;".E2_DC"</f>
        <v>BXX_OVF1_FI1.E2_DC</v>
      </c>
      <c r="AU33" t="s">
        <v>14</v>
      </c>
      <c r="AV33" s="4" t="str">
        <f t="shared" si="9"/>
        <v>BXX Overflow Eng Value 2 Precision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64" x14ac:dyDescent="0.25">
      <c r="A34" s="4" t="str">
        <f>(LEFT($A$3,8))&amp;"_"&amp;"ST1_AI_HS"</f>
        <v>BXX_OVF1_ST1_AI_HS</v>
      </c>
      <c r="B34" s="4" t="str">
        <f t="shared" si="4"/>
        <v>BXX_OVF1_FI1</v>
      </c>
      <c r="C34" s="4" t="str">
        <f>$C$3 &amp; " Event Start Hour"</f>
        <v>BXX Overflow Event Start Hour</v>
      </c>
      <c r="D34" s="2">
        <f t="shared" si="5"/>
        <v>29</v>
      </c>
      <c r="E34" t="s">
        <v>14</v>
      </c>
      <c r="F34" t="s">
        <v>13</v>
      </c>
      <c r="G34" s="5">
        <v>700</v>
      </c>
      <c r="H34" t="s">
        <v>13</v>
      </c>
      <c r="I34" t="s">
        <v>14</v>
      </c>
      <c r="J34">
        <v>0</v>
      </c>
      <c r="K34">
        <v>0</v>
      </c>
      <c r="L34" t="s">
        <v>306</v>
      </c>
      <c r="M34">
        <v>0</v>
      </c>
      <c r="N34">
        <v>0</v>
      </c>
      <c r="O34">
        <v>23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>
        <v>0</v>
      </c>
      <c r="AP34">
        <v>23</v>
      </c>
      <c r="AQ34" t="s">
        <v>108</v>
      </c>
      <c r="AR34" s="4" t="str">
        <f t="shared" si="8"/>
        <v>BXX</v>
      </c>
      <c r="AS34" t="s">
        <v>14</v>
      </c>
      <c r="AT34" s="4" t="str">
        <f>(LEFT($A$3,8))&amp;"_"&amp;"TL1.ST.AI_HS"</f>
        <v>BXX_OVF1_TL1.ST.AI_HS</v>
      </c>
      <c r="AU34" t="s">
        <v>14</v>
      </c>
      <c r="AV34" s="4" t="str">
        <f t="shared" si="9"/>
        <v>BXX Overflow Event Start Hour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(LEFT($A$3,8))&amp;"_"&amp;"SP1_AI_HS"</f>
        <v>BXX_OVF1_SP1_AI_HS</v>
      </c>
      <c r="B35" s="4" t="str">
        <f t="shared" si="4"/>
        <v>BXX_OVF1_FI1</v>
      </c>
      <c r="C35" s="4" t="str">
        <f>$C$3 &amp; " Event Stop Hour"</f>
        <v>BXX Overflow Event Stop Hour</v>
      </c>
      <c r="D35" s="2">
        <f t="shared" si="5"/>
        <v>28</v>
      </c>
      <c r="E35" t="s">
        <v>14</v>
      </c>
      <c r="F35" t="s">
        <v>13</v>
      </c>
      <c r="G35" s="5">
        <v>700</v>
      </c>
      <c r="H35" t="s">
        <v>13</v>
      </c>
      <c r="I35" t="s">
        <v>14</v>
      </c>
      <c r="J35">
        <v>0</v>
      </c>
      <c r="K35">
        <v>0</v>
      </c>
      <c r="L35" t="s">
        <v>306</v>
      </c>
      <c r="M35">
        <v>0</v>
      </c>
      <c r="N35">
        <v>0</v>
      </c>
      <c r="O35">
        <v>23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>
        <v>0</v>
      </c>
      <c r="AP35">
        <v>23</v>
      </c>
      <c r="AQ35" t="s">
        <v>108</v>
      </c>
      <c r="AR35" s="4" t="str">
        <f t="shared" si="8"/>
        <v>BXX</v>
      </c>
      <c r="AS35" t="s">
        <v>14</v>
      </c>
      <c r="AT35" s="4" t="str">
        <f>(LEFT($A$3,8))&amp;"_"&amp;"TL1.SP.AI_HS"</f>
        <v>BXX_OVF1_TL1.SP.AI_HS</v>
      </c>
      <c r="AU35" t="s">
        <v>14</v>
      </c>
      <c r="AV35" s="4" t="str">
        <f t="shared" si="9"/>
        <v>BXX Overflow Event Stop Hour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4" t="str">
        <f>(LEFT($A$3,8))&amp;"_"&amp;"SP1_AI_MM"</f>
        <v>BXX_OVF1_SP1_AI_MM</v>
      </c>
      <c r="B36" s="4" t="str">
        <f t="shared" si="4"/>
        <v>BXX_OVF1_FI1</v>
      </c>
      <c r="C36" s="4" t="str">
        <f>$C$3 &amp; " Event Stop Month"</f>
        <v>BXX Overflow Event Stop Month</v>
      </c>
      <c r="D36" s="2">
        <f t="shared" si="5"/>
        <v>29</v>
      </c>
      <c r="E36" t="s">
        <v>14</v>
      </c>
      <c r="F36" t="s">
        <v>13</v>
      </c>
      <c r="G36" s="5">
        <v>700</v>
      </c>
      <c r="H36" t="s">
        <v>13</v>
      </c>
      <c r="I36" t="s">
        <v>14</v>
      </c>
      <c r="J36">
        <v>0</v>
      </c>
      <c r="K36">
        <v>0</v>
      </c>
      <c r="L36" t="s">
        <v>110</v>
      </c>
      <c r="M36">
        <v>1</v>
      </c>
      <c r="N36">
        <v>1</v>
      </c>
      <c r="O36">
        <v>12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>
        <v>1</v>
      </c>
      <c r="AP36">
        <v>12</v>
      </c>
      <c r="AQ36" t="s">
        <v>108</v>
      </c>
      <c r="AR36" s="4" t="str">
        <f t="shared" si="8"/>
        <v>BXX</v>
      </c>
      <c r="AS36" t="s">
        <v>14</v>
      </c>
      <c r="AT36" s="4" t="str">
        <f>(LEFT($A$3,8))&amp;"_"&amp;"TL1.SP.AI_MM"</f>
        <v>BXX_OVF1_TL1.SP.AI_MM</v>
      </c>
      <c r="AU36" t="s">
        <v>14</v>
      </c>
      <c r="AV36" s="4" t="str">
        <f t="shared" si="9"/>
        <v>BXX Overflow Event Stop Month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4" t="str">
        <f>(LEFT($A$3,8))&amp;"_"&amp;"SP1_AI_DY"</f>
        <v>BXX_OVF1_SP1_AI_DY</v>
      </c>
      <c r="B37" s="4" t="str">
        <f t="shared" si="4"/>
        <v>BXX_OVF1_FI1</v>
      </c>
      <c r="C37" s="4" t="str">
        <f>$C$3 &amp; " Event Stop Day"</f>
        <v>BXX Overflow Event Stop Day</v>
      </c>
      <c r="D37" s="2">
        <f t="shared" si="5"/>
        <v>27</v>
      </c>
      <c r="E37" t="s">
        <v>14</v>
      </c>
      <c r="F37" t="s">
        <v>13</v>
      </c>
      <c r="G37" s="5">
        <v>700</v>
      </c>
      <c r="H37" t="s">
        <v>13</v>
      </c>
      <c r="I37" t="s">
        <v>14</v>
      </c>
      <c r="J37">
        <v>0</v>
      </c>
      <c r="K37">
        <v>0</v>
      </c>
      <c r="L37" t="s">
        <v>112</v>
      </c>
      <c r="M37">
        <v>1</v>
      </c>
      <c r="N37">
        <v>1</v>
      </c>
      <c r="O37">
        <v>31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>
        <v>1</v>
      </c>
      <c r="AP37">
        <v>31</v>
      </c>
      <c r="AQ37" t="s">
        <v>108</v>
      </c>
      <c r="AR37" s="4" t="str">
        <f t="shared" si="8"/>
        <v>BXX</v>
      </c>
      <c r="AS37" t="s">
        <v>14</v>
      </c>
      <c r="AT37" s="4" t="str">
        <f>(LEFT($A$3,8))&amp;"_"&amp;"TL1.SP.AI_DY"</f>
        <v>BXX_OVF1_TL1.SP.AI_DY</v>
      </c>
      <c r="AU37" t="s">
        <v>14</v>
      </c>
      <c r="AV37" s="4" t="str">
        <f t="shared" si="9"/>
        <v>BXX Overflow Event Stop Day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(LEFT($A$3,8))&amp;"_"&amp;"SP1_AI_MS"</f>
        <v>BXX_OVF1_SP1_AI_MS</v>
      </c>
      <c r="B38" s="4" t="str">
        <f t="shared" si="4"/>
        <v>BXX_OVF1_FI1</v>
      </c>
      <c r="C38" s="4" t="str">
        <f>$C$3 &amp; " Event Stop Minute"</f>
        <v>BXX Overflow Event Stop Minute</v>
      </c>
      <c r="D38" s="2">
        <f t="shared" si="5"/>
        <v>30</v>
      </c>
      <c r="E38" t="s">
        <v>14</v>
      </c>
      <c r="F38" t="s">
        <v>13</v>
      </c>
      <c r="G38" s="5">
        <v>700</v>
      </c>
      <c r="H38" t="s">
        <v>13</v>
      </c>
      <c r="I38" t="s">
        <v>14</v>
      </c>
      <c r="J38">
        <v>0</v>
      </c>
      <c r="K38">
        <v>0</v>
      </c>
      <c r="L38" t="s">
        <v>307</v>
      </c>
      <c r="M38">
        <v>0</v>
      </c>
      <c r="N38">
        <v>0</v>
      </c>
      <c r="O38">
        <v>59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>
        <v>0</v>
      </c>
      <c r="AP38">
        <v>59</v>
      </c>
      <c r="AQ38" t="s">
        <v>108</v>
      </c>
      <c r="AR38" s="4" t="str">
        <f t="shared" si="8"/>
        <v>BXX</v>
      </c>
      <c r="AS38" t="s">
        <v>14</v>
      </c>
      <c r="AT38" s="4" t="str">
        <f>(LEFT($A$3,8))&amp;"_"&amp;"TL1.SP.AI_MS"</f>
        <v>BXX_OVF1_TL1.SP.AI_MS</v>
      </c>
      <c r="AU38" t="s">
        <v>14</v>
      </c>
      <c r="AV38" s="4" t="str">
        <f t="shared" si="9"/>
        <v>BXX Overflow Event Stop Minute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(LEFT($A$3,8))&amp;"_"&amp;"SP1_AI_YY"</f>
        <v>BXX_OVF1_SP1_AI_YY</v>
      </c>
      <c r="B39" s="4" t="str">
        <f t="shared" si="4"/>
        <v>BXX_OVF1_FI1</v>
      </c>
      <c r="C39" s="4" t="str">
        <f>$C$3 &amp; " Event Stop Year"</f>
        <v>BXX Overflow Event Stop Year</v>
      </c>
      <c r="D39" s="2">
        <f t="shared" si="5"/>
        <v>28</v>
      </c>
      <c r="E39" t="s">
        <v>14</v>
      </c>
      <c r="F39" t="s">
        <v>13</v>
      </c>
      <c r="G39" s="5">
        <v>700</v>
      </c>
      <c r="H39" t="s">
        <v>13</v>
      </c>
      <c r="I39" t="s">
        <v>14</v>
      </c>
      <c r="J39">
        <v>0</v>
      </c>
      <c r="K39">
        <v>0</v>
      </c>
      <c r="L39" t="s">
        <v>106</v>
      </c>
      <c r="M39">
        <v>0</v>
      </c>
      <c r="N39">
        <v>0</v>
      </c>
      <c r="O39">
        <v>9999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>
        <v>0</v>
      </c>
      <c r="AP39">
        <v>9999</v>
      </c>
      <c r="AQ39" t="s">
        <v>108</v>
      </c>
      <c r="AR39" s="4" t="str">
        <f t="shared" si="8"/>
        <v>BXX</v>
      </c>
      <c r="AS39" t="s">
        <v>14</v>
      </c>
      <c r="AT39" s="4" t="str">
        <f>(LEFT($A$3,8))&amp;"_"&amp;"TL1.SP.AI_YY"</f>
        <v>BXX_OVF1_TL1.SP.AI_YY</v>
      </c>
      <c r="AU39" t="s">
        <v>14</v>
      </c>
      <c r="AV39" s="4" t="str">
        <f t="shared" si="9"/>
        <v>BXX Overflow Event Stop Year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x14ac:dyDescent="0.25">
      <c r="A40" s="4" t="str">
        <f>(LEFT($A$3,8))&amp;"_"&amp;"ST1_AI_YY"</f>
        <v>BXX_OVF1_ST1_AI_YY</v>
      </c>
      <c r="B40" s="4" t="str">
        <f t="shared" si="4"/>
        <v>BXX_OVF1_FI1</v>
      </c>
      <c r="C40" s="4" t="str">
        <f>$C$3 &amp; " Event Start Year"</f>
        <v>BXX Overflow Event Start Year</v>
      </c>
      <c r="D40" s="2">
        <f t="shared" si="5"/>
        <v>29</v>
      </c>
      <c r="E40" t="s">
        <v>14</v>
      </c>
      <c r="F40" t="s">
        <v>13</v>
      </c>
      <c r="G40" s="5">
        <v>700</v>
      </c>
      <c r="H40" t="s">
        <v>13</v>
      </c>
      <c r="I40" t="s">
        <v>14</v>
      </c>
      <c r="J40">
        <v>0</v>
      </c>
      <c r="K40">
        <v>0</v>
      </c>
      <c r="L40" t="s">
        <v>106</v>
      </c>
      <c r="M40">
        <v>0</v>
      </c>
      <c r="N40">
        <v>0</v>
      </c>
      <c r="O40">
        <v>9999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>
        <v>0</v>
      </c>
      <c r="AP40">
        <v>9999</v>
      </c>
      <c r="AQ40" t="s">
        <v>108</v>
      </c>
      <c r="AR40" s="4" t="str">
        <f t="shared" si="8"/>
        <v>BXX</v>
      </c>
      <c r="AS40" t="s">
        <v>14</v>
      </c>
      <c r="AT40" s="4" t="str">
        <f>(LEFT($A$3,8))&amp;"_"&amp;"TL1.ST.AI_YY"</f>
        <v>BXX_OVF1_TL1.ST.AI_YY</v>
      </c>
      <c r="AU40" t="s">
        <v>14</v>
      </c>
      <c r="AV40" s="4" t="str">
        <f t="shared" si="9"/>
        <v>BXX Overflow Event Start Year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(LEFT($A$3,8))&amp;"_"&amp;"ST1_AI_SN"</f>
        <v>BXX_OVF1_ST1_AI_SN</v>
      </c>
      <c r="B41" s="4" t="str">
        <f t="shared" si="4"/>
        <v>BXX_OVF1_FI1</v>
      </c>
      <c r="C41" s="4" t="str">
        <f>$C$3 &amp; " Event Start Second"</f>
        <v>BXX Overflow Event Start Second</v>
      </c>
      <c r="D41" s="2">
        <f t="shared" si="5"/>
        <v>31</v>
      </c>
      <c r="E41" t="s">
        <v>14</v>
      </c>
      <c r="F41" t="s">
        <v>13</v>
      </c>
      <c r="G41" s="5">
        <v>700</v>
      </c>
      <c r="H41" t="s">
        <v>13</v>
      </c>
      <c r="I41" t="s">
        <v>14</v>
      </c>
      <c r="J41">
        <v>0</v>
      </c>
      <c r="K41">
        <v>0</v>
      </c>
      <c r="L41" t="s">
        <v>308</v>
      </c>
      <c r="M41">
        <v>0</v>
      </c>
      <c r="N41">
        <v>0</v>
      </c>
      <c r="O41">
        <v>59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>
        <v>0</v>
      </c>
      <c r="AP41">
        <v>59</v>
      </c>
      <c r="AQ41" t="s">
        <v>108</v>
      </c>
      <c r="AR41" s="4" t="str">
        <f t="shared" si="8"/>
        <v>BXX</v>
      </c>
      <c r="AS41" t="s">
        <v>14</v>
      </c>
      <c r="AT41" s="4" t="str">
        <f>(LEFT($A$3,8))&amp;"_"&amp;"TL1.ST.AI_SN"</f>
        <v>BXX_OVF1_TL1.ST.AI_SN</v>
      </c>
      <c r="AU41" t="s">
        <v>14</v>
      </c>
      <c r="AV41" s="4" t="str">
        <f t="shared" si="9"/>
        <v>BXX Overflow Event Start Second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s="4" t="str">
        <f>(LEFT($A$3,8))&amp;"_"&amp;"ST1_AI_MS"</f>
        <v>BXX_OVF1_ST1_AI_MS</v>
      </c>
      <c r="B42" s="4" t="str">
        <f t="shared" si="4"/>
        <v>BXX_OVF1_FI1</v>
      </c>
      <c r="C42" s="4" t="str">
        <f>$C$3 &amp; " Event Start Minute"</f>
        <v>BXX Overflow Event Start Minute</v>
      </c>
      <c r="D42" s="2">
        <f t="shared" si="5"/>
        <v>31</v>
      </c>
      <c r="E42" t="s">
        <v>14</v>
      </c>
      <c r="F42" t="s">
        <v>13</v>
      </c>
      <c r="G42" s="5">
        <v>700</v>
      </c>
      <c r="H42" t="s">
        <v>13</v>
      </c>
      <c r="I42" t="s">
        <v>14</v>
      </c>
      <c r="J42">
        <v>0</v>
      </c>
      <c r="K42">
        <v>0</v>
      </c>
      <c r="L42" t="s">
        <v>307</v>
      </c>
      <c r="M42">
        <v>0</v>
      </c>
      <c r="N42">
        <v>0</v>
      </c>
      <c r="O42">
        <v>59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>
        <v>0</v>
      </c>
      <c r="AP42">
        <v>59</v>
      </c>
      <c r="AQ42" t="s">
        <v>108</v>
      </c>
      <c r="AR42" s="4" t="str">
        <f t="shared" si="8"/>
        <v>BXX</v>
      </c>
      <c r="AS42" t="s">
        <v>14</v>
      </c>
      <c r="AT42" s="4" t="str">
        <f>(LEFT($A$3,8))&amp;"_"&amp;"TL1.ST.AI_MS"</f>
        <v>BXX_OVF1_TL1.ST.AI_MS</v>
      </c>
      <c r="AU42" t="s">
        <v>14</v>
      </c>
      <c r="AV42" s="4" t="str">
        <f t="shared" si="9"/>
        <v>BXX Overflow Event Start Minute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4" t="str">
        <f>(LEFT($A$3,8))&amp;"_"&amp;"ST1_AI_MM"</f>
        <v>BXX_OVF1_ST1_AI_MM</v>
      </c>
      <c r="B43" s="4" t="str">
        <f t="shared" si="4"/>
        <v>BXX_OVF1_FI1</v>
      </c>
      <c r="C43" s="4" t="str">
        <f>$C$3 &amp; " Event Start Month"</f>
        <v>BXX Overflow Event Start Month</v>
      </c>
      <c r="D43" s="2">
        <f t="shared" si="5"/>
        <v>30</v>
      </c>
      <c r="E43" t="s">
        <v>14</v>
      </c>
      <c r="F43" t="s">
        <v>13</v>
      </c>
      <c r="G43" s="5">
        <v>700</v>
      </c>
      <c r="H43" t="s">
        <v>13</v>
      </c>
      <c r="I43" t="s">
        <v>14</v>
      </c>
      <c r="J43">
        <v>0</v>
      </c>
      <c r="K43">
        <v>0</v>
      </c>
      <c r="L43" t="s">
        <v>110</v>
      </c>
      <c r="M43">
        <v>1</v>
      </c>
      <c r="N43">
        <v>1</v>
      </c>
      <c r="O43">
        <v>12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>
        <v>1</v>
      </c>
      <c r="AP43">
        <v>12</v>
      </c>
      <c r="AQ43" t="s">
        <v>108</v>
      </c>
      <c r="AR43" s="4" t="str">
        <f t="shared" si="8"/>
        <v>BXX</v>
      </c>
      <c r="AS43" t="s">
        <v>14</v>
      </c>
      <c r="AT43" s="4" t="str">
        <f>(LEFT($A$3,8))&amp;"_"&amp;"TL1.ST.AI_MM"</f>
        <v>BXX_OVF1_TL1.ST.AI_MM</v>
      </c>
      <c r="AU43" t="s">
        <v>14</v>
      </c>
      <c r="AV43" s="4" t="str">
        <f t="shared" si="9"/>
        <v>BXX Overflow Event Start Month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(LEFT($A$3,8))&amp;"_"&amp;"SP1_AI_SN"</f>
        <v>BXX_OVF1_SP1_AI_SN</v>
      </c>
      <c r="B44" s="4" t="str">
        <f t="shared" si="4"/>
        <v>BXX_OVF1_FI1</v>
      </c>
      <c r="C44" s="4" t="str">
        <f>$C$3 &amp; " Event Stop Second"</f>
        <v>BXX Overflow Event Stop Second</v>
      </c>
      <c r="D44" s="2">
        <f t="shared" si="5"/>
        <v>30</v>
      </c>
      <c r="E44" t="s">
        <v>14</v>
      </c>
      <c r="F44" t="s">
        <v>13</v>
      </c>
      <c r="G44" s="5">
        <v>700</v>
      </c>
      <c r="H44" t="s">
        <v>13</v>
      </c>
      <c r="I44" t="s">
        <v>14</v>
      </c>
      <c r="J44">
        <v>0</v>
      </c>
      <c r="K44">
        <v>0</v>
      </c>
      <c r="L44" t="s">
        <v>308</v>
      </c>
      <c r="M44">
        <v>0</v>
      </c>
      <c r="N44">
        <v>0</v>
      </c>
      <c r="O44">
        <v>59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>
        <v>0</v>
      </c>
      <c r="AP44">
        <v>59</v>
      </c>
      <c r="AQ44" t="s">
        <v>108</v>
      </c>
      <c r="AR44" s="4" t="str">
        <f t="shared" si="8"/>
        <v>BXX</v>
      </c>
      <c r="AS44" t="s">
        <v>14</v>
      </c>
      <c r="AT44" s="4" t="str">
        <f>(LEFT($A$3,8))&amp;"_"&amp;"TL1.SP.AI_SN"</f>
        <v>BXX_OVF1_TL1.SP.AI_SN</v>
      </c>
      <c r="AU44" t="s">
        <v>14</v>
      </c>
      <c r="AV44" s="4" t="str">
        <f t="shared" si="9"/>
        <v>BXX Overflow Event Stop Second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4" t="str">
        <f>(LEFT($A$3,8))&amp;"_"&amp;"TL1_AI_BE"</f>
        <v>BXX_OVF1_TL1_AI_BE</v>
      </c>
      <c r="B45" s="4" t="str">
        <f t="shared" si="4"/>
        <v>BXX_OVF1_FI1</v>
      </c>
      <c r="C45" s="4" t="str">
        <f>$C$3 &amp; " Total Number of Events"</f>
        <v>BXX Overflow Total Number of Events</v>
      </c>
      <c r="D45" s="2">
        <f t="shared" si="5"/>
        <v>35</v>
      </c>
      <c r="E45" t="s">
        <v>14</v>
      </c>
      <c r="F45" t="s">
        <v>13</v>
      </c>
      <c r="G45" s="5">
        <v>700</v>
      </c>
      <c r="H45" t="s">
        <v>13</v>
      </c>
      <c r="I45" t="s">
        <v>14</v>
      </c>
      <c r="J45">
        <v>0</v>
      </c>
      <c r="K45">
        <v>0</v>
      </c>
      <c r="L45" t="s">
        <v>309</v>
      </c>
      <c r="M45">
        <v>0</v>
      </c>
      <c r="N45">
        <v>0</v>
      </c>
      <c r="O45">
        <v>32767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>
        <v>0</v>
      </c>
      <c r="AP45">
        <v>32767</v>
      </c>
      <c r="AQ45" t="s">
        <v>108</v>
      </c>
      <c r="AR45" s="4" t="str">
        <f t="shared" si="8"/>
        <v>BXX</v>
      </c>
      <c r="AS45" t="s">
        <v>14</v>
      </c>
      <c r="AT45" s="4" t="str">
        <f>(LEFT($A$3,8))&amp;"_"&amp;"TL1.AI_BE"</f>
        <v>BXX_OVF1_TL1.AI_BE</v>
      </c>
      <c r="AU45" t="s">
        <v>14</v>
      </c>
      <c r="AV45" s="4" t="str">
        <f t="shared" si="9"/>
        <v>BXX Overflow Total Number of Events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4" t="str">
        <f>(LEFT($A$3,8))&amp;"_"&amp;"ST1_AI_DY"</f>
        <v>BXX_OVF1_ST1_AI_DY</v>
      </c>
      <c r="B46" s="4" t="str">
        <f t="shared" si="4"/>
        <v>BXX_OVF1_FI1</v>
      </c>
      <c r="C46" s="4" t="str">
        <f>$C$3 &amp; " Event Start Day"</f>
        <v>BXX Overflow Event Start Day</v>
      </c>
      <c r="D46" s="2">
        <f t="shared" si="5"/>
        <v>28</v>
      </c>
      <c r="E46" t="s">
        <v>14</v>
      </c>
      <c r="F46" t="s">
        <v>13</v>
      </c>
      <c r="G46" s="5">
        <v>700</v>
      </c>
      <c r="H46" t="s">
        <v>13</v>
      </c>
      <c r="I46" t="s">
        <v>14</v>
      </c>
      <c r="J46">
        <v>0</v>
      </c>
      <c r="K46">
        <v>0</v>
      </c>
      <c r="L46" t="s">
        <v>112</v>
      </c>
      <c r="M46">
        <v>1</v>
      </c>
      <c r="N46">
        <v>1</v>
      </c>
      <c r="O46">
        <v>31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>
        <v>1</v>
      </c>
      <c r="AP46">
        <v>31</v>
      </c>
      <c r="AQ46" t="s">
        <v>108</v>
      </c>
      <c r="AR46" s="4" t="str">
        <f t="shared" si="8"/>
        <v>BXX</v>
      </c>
      <c r="AS46" t="s">
        <v>14</v>
      </c>
      <c r="AT46" s="4" t="str">
        <f>(LEFT($A$3,8))&amp;"_"&amp;"TL1.ST.AI_DY"</f>
        <v>BXX_OVF1_TL1.ST.AI_DY</v>
      </c>
      <c r="AU46" t="s">
        <v>14</v>
      </c>
      <c r="AV46" s="4" t="str">
        <f t="shared" si="9"/>
        <v>BXX Overflow Event Start Day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s="4" t="str">
        <f>(LEFT($A$3,8))&amp;"_"&amp;"TL1_AI_TM"</f>
        <v>BXX_OVF1_TL1_AI_TM</v>
      </c>
      <c r="B47" s="4" t="str">
        <f t="shared" si="4"/>
        <v>BXX_OVF1_FI1</v>
      </c>
      <c r="C47" s="4" t="str">
        <f>$C$3 &amp; " Event Duration"</f>
        <v>BXX Overflow Event Duration</v>
      </c>
      <c r="D47" s="2">
        <f t="shared" si="5"/>
        <v>27</v>
      </c>
      <c r="E47" t="s">
        <v>14</v>
      </c>
      <c r="F47" t="s">
        <v>14</v>
      </c>
      <c r="G47">
        <v>0</v>
      </c>
      <c r="H47" t="s">
        <v>13</v>
      </c>
      <c r="I47" t="s">
        <v>14</v>
      </c>
      <c r="J47">
        <v>0</v>
      </c>
      <c r="K47">
        <v>0</v>
      </c>
      <c r="L47" t="s">
        <v>307</v>
      </c>
      <c r="M47">
        <v>0</v>
      </c>
      <c r="N47">
        <v>0</v>
      </c>
      <c r="O47">
        <v>32767</v>
      </c>
      <c r="P47">
        <v>0</v>
      </c>
      <c r="Q47">
        <v>0</v>
      </c>
      <c r="R47" t="s">
        <v>54</v>
      </c>
      <c r="S47">
        <v>0</v>
      </c>
      <c r="T47">
        <v>1</v>
      </c>
      <c r="U47" t="s">
        <v>54</v>
      </c>
      <c r="V47">
        <v>0</v>
      </c>
      <c r="W47">
        <v>1</v>
      </c>
      <c r="X47" t="s">
        <v>54</v>
      </c>
      <c r="Y47">
        <v>0</v>
      </c>
      <c r="Z47">
        <v>1</v>
      </c>
      <c r="AA47" t="s">
        <v>54</v>
      </c>
      <c r="AB47">
        <v>0</v>
      </c>
      <c r="AC47">
        <v>1</v>
      </c>
      <c r="AD47" t="s">
        <v>54</v>
      </c>
      <c r="AE47">
        <v>0</v>
      </c>
      <c r="AF47">
        <v>1</v>
      </c>
      <c r="AG47" t="s">
        <v>54</v>
      </c>
      <c r="AH47">
        <v>0</v>
      </c>
      <c r="AI47">
        <v>1</v>
      </c>
      <c r="AJ47">
        <v>0</v>
      </c>
      <c r="AK47" t="s">
        <v>54</v>
      </c>
      <c r="AL47">
        <v>0</v>
      </c>
      <c r="AM47">
        <v>1</v>
      </c>
      <c r="AN47" t="s">
        <v>107</v>
      </c>
      <c r="AO47">
        <v>0</v>
      </c>
      <c r="AP47">
        <v>32767</v>
      </c>
      <c r="AQ47" t="s">
        <v>108</v>
      </c>
      <c r="AR47" s="4" t="str">
        <f t="shared" si="8"/>
        <v>BXX</v>
      </c>
      <c r="AS47" t="s">
        <v>14</v>
      </c>
      <c r="AT47" s="4" t="str">
        <f>(LEFT($A$3,8))&amp;"_"&amp;"TL1.AI_TM"</f>
        <v>BXX_OVF1_TL1.AI_TM</v>
      </c>
      <c r="AU47" t="s">
        <v>14</v>
      </c>
      <c r="AV47" s="4" t="str">
        <f t="shared" si="9"/>
        <v>BXX Overflow Event Duration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</row>
    <row r="48" spans="1:64" x14ac:dyDescent="0.25">
      <c r="A48" t="s">
        <v>70</v>
      </c>
      <c r="B48" t="s">
        <v>16</v>
      </c>
      <c r="C48" t="s">
        <v>17</v>
      </c>
      <c r="D48" s="2">
        <f t="shared" si="5"/>
        <v>7</v>
      </c>
      <c r="E48" t="s">
        <v>39</v>
      </c>
      <c r="F48" t="s">
        <v>18</v>
      </c>
      <c r="G48" t="s">
        <v>19</v>
      </c>
      <c r="H48" t="s">
        <v>40</v>
      </c>
      <c r="I48" t="s">
        <v>71</v>
      </c>
      <c r="J48" t="s">
        <v>72</v>
      </c>
      <c r="K48" t="s">
        <v>73</v>
      </c>
      <c r="L48" t="s">
        <v>74</v>
      </c>
      <c r="M48" t="s">
        <v>75</v>
      </c>
      <c r="N48" t="s">
        <v>76</v>
      </c>
      <c r="O48" t="s">
        <v>77</v>
      </c>
      <c r="P48" t="s">
        <v>78</v>
      </c>
      <c r="Q48" t="s">
        <v>79</v>
      </c>
      <c r="R48" t="s">
        <v>80</v>
      </c>
      <c r="S48" t="s">
        <v>81</v>
      </c>
      <c r="T48" t="s">
        <v>82</v>
      </c>
      <c r="U48" t="s">
        <v>83</v>
      </c>
      <c r="V48" t="s">
        <v>84</v>
      </c>
      <c r="W48" t="s">
        <v>85</v>
      </c>
      <c r="X48" t="s">
        <v>86</v>
      </c>
      <c r="Y48" t="s">
        <v>87</v>
      </c>
      <c r="Z48" t="s">
        <v>88</v>
      </c>
      <c r="AA48" t="s">
        <v>89</v>
      </c>
      <c r="AB48" t="s">
        <v>90</v>
      </c>
      <c r="AC48" t="s">
        <v>91</v>
      </c>
      <c r="AD48" t="s">
        <v>92</v>
      </c>
      <c r="AE48" t="s">
        <v>93</v>
      </c>
      <c r="AF48" t="s">
        <v>94</v>
      </c>
      <c r="AG48" t="s">
        <v>95</v>
      </c>
      <c r="AH48" t="s">
        <v>96</v>
      </c>
      <c r="AI48" t="s">
        <v>97</v>
      </c>
      <c r="AJ48" t="s">
        <v>98</v>
      </c>
      <c r="AK48" t="s">
        <v>99</v>
      </c>
      <c r="AL48" t="s">
        <v>100</v>
      </c>
      <c r="AM48" t="s">
        <v>101</v>
      </c>
      <c r="AN48" t="s">
        <v>102</v>
      </c>
      <c r="AO48" t="s">
        <v>103</v>
      </c>
      <c r="AP48" t="s">
        <v>104</v>
      </c>
      <c r="AQ48" t="s">
        <v>105</v>
      </c>
      <c r="AR48" t="s">
        <v>47</v>
      </c>
      <c r="AS48" t="s">
        <v>48</v>
      </c>
      <c r="AT48" t="s">
        <v>49</v>
      </c>
      <c r="AU48" t="s">
        <v>50</v>
      </c>
      <c r="AV48" t="s">
        <v>51</v>
      </c>
      <c r="AW48" t="s">
        <v>52</v>
      </c>
      <c r="AX48" t="s">
        <v>20</v>
      </c>
      <c r="AY48" t="s">
        <v>21</v>
      </c>
      <c r="AZ48" t="s">
        <v>22</v>
      </c>
      <c r="BA48" t="s">
        <v>23</v>
      </c>
      <c r="BB48" t="s">
        <v>24</v>
      </c>
      <c r="BC48" t="s">
        <v>25</v>
      </c>
      <c r="BD48" t="s">
        <v>26</v>
      </c>
      <c r="BE48" t="s">
        <v>28</v>
      </c>
      <c r="BF48" t="s">
        <v>29</v>
      </c>
      <c r="BG48" t="s">
        <v>30</v>
      </c>
      <c r="BH48" t="s">
        <v>31</v>
      </c>
      <c r="BI48" t="s">
        <v>32</v>
      </c>
      <c r="BJ48" t="s">
        <v>33</v>
      </c>
      <c r="BK48" t="s">
        <v>34</v>
      </c>
      <c r="BL48" t="s">
        <v>53</v>
      </c>
    </row>
    <row r="49" spans="1:56" x14ac:dyDescent="0.25">
      <c r="A49" s="4" t="str">
        <f>$A$3&amp;"_SN_LL"</f>
        <v>BXX_OVF1_FI1_SN_LL</v>
      </c>
      <c r="B49" s="4" t="str">
        <f t="shared" ref="B49:C66" si="10">$A$3</f>
        <v>BXX_OVF1_FI1</v>
      </c>
      <c r="C49" s="4" t="str">
        <f>$C$3 &amp; " LOLO Alarm Delay"</f>
        <v>BXX Overflow LOLO Alarm Delay</v>
      </c>
      <c r="D49" s="2">
        <f t="shared" si="5"/>
        <v>29</v>
      </c>
      <c r="E49" t="s">
        <v>14</v>
      </c>
      <c r="F49" t="s">
        <v>13</v>
      </c>
      <c r="G49" s="5">
        <v>900</v>
      </c>
      <c r="H49" t="s">
        <v>13</v>
      </c>
      <c r="I49" t="s">
        <v>14</v>
      </c>
      <c r="J49">
        <v>0</v>
      </c>
      <c r="K49">
        <v>0</v>
      </c>
      <c r="L49" t="s">
        <v>109</v>
      </c>
      <c r="M49" s="4">
        <f>N49</f>
        <v>0</v>
      </c>
      <c r="N49">
        <v>0</v>
      </c>
      <c r="O49">
        <v>999</v>
      </c>
      <c r="P49">
        <v>0</v>
      </c>
      <c r="Q49">
        <v>0</v>
      </c>
      <c r="R49" t="s">
        <v>54</v>
      </c>
      <c r="S49">
        <v>0</v>
      </c>
      <c r="T49">
        <v>1</v>
      </c>
      <c r="U49" t="s">
        <v>54</v>
      </c>
      <c r="V49">
        <v>0</v>
      </c>
      <c r="W49">
        <v>1</v>
      </c>
      <c r="X49" t="s">
        <v>54</v>
      </c>
      <c r="Y49">
        <v>0</v>
      </c>
      <c r="Z49">
        <v>1</v>
      </c>
      <c r="AA49" t="s">
        <v>54</v>
      </c>
      <c r="AB49">
        <v>0</v>
      </c>
      <c r="AC49">
        <v>1</v>
      </c>
      <c r="AD49" t="s">
        <v>54</v>
      </c>
      <c r="AE49">
        <v>0</v>
      </c>
      <c r="AF49">
        <v>1</v>
      </c>
      <c r="AG49" t="s">
        <v>54</v>
      </c>
      <c r="AH49">
        <v>0</v>
      </c>
      <c r="AI49">
        <v>1</v>
      </c>
      <c r="AJ49">
        <v>0</v>
      </c>
      <c r="AK49" t="s">
        <v>54</v>
      </c>
      <c r="AL49">
        <v>0</v>
      </c>
      <c r="AM49">
        <v>1</v>
      </c>
      <c r="AN49" t="s">
        <v>107</v>
      </c>
      <c r="AO49" s="4">
        <f>N49</f>
        <v>0</v>
      </c>
      <c r="AP49" s="4">
        <f>O49</f>
        <v>999</v>
      </c>
      <c r="AQ49" t="s">
        <v>108</v>
      </c>
      <c r="AR49" s="4" t="str">
        <f>$O$6</f>
        <v>BXX</v>
      </c>
      <c r="AS49" t="s">
        <v>14</v>
      </c>
      <c r="AT49" s="4" t="str">
        <f>$A$3&amp;".SN_LL"</f>
        <v>BXX_OVF1_FI1.SN_LL</v>
      </c>
      <c r="AU49" t="s">
        <v>14</v>
      </c>
      <c r="AV49" s="4" t="str">
        <f>C49</f>
        <v>BXX Overflow LOLO Alarm Delay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</row>
    <row r="50" spans="1:56" x14ac:dyDescent="0.25">
      <c r="A50" s="4" t="str">
        <f>$A$3&amp;"_SN_HI"</f>
        <v>BXX_OVF1_FI1_SN_HI</v>
      </c>
      <c r="B50" s="4" t="str">
        <f t="shared" si="10"/>
        <v>BXX_OVF1_FI1</v>
      </c>
      <c r="C50" s="4" t="str">
        <f>$C$3 &amp; " High Alarm Delay"</f>
        <v>BXX Overflow High Alarm Delay</v>
      </c>
      <c r="D50" s="2">
        <f t="shared" si="5"/>
        <v>29</v>
      </c>
      <c r="E50" t="s">
        <v>14</v>
      </c>
      <c r="F50" t="s">
        <v>13</v>
      </c>
      <c r="G50" s="5">
        <v>900</v>
      </c>
      <c r="H50" t="s">
        <v>13</v>
      </c>
      <c r="I50" t="s">
        <v>14</v>
      </c>
      <c r="J50">
        <v>0</v>
      </c>
      <c r="K50">
        <v>0</v>
      </c>
      <c r="L50" s="5" t="s">
        <v>109</v>
      </c>
      <c r="M50" s="4">
        <f t="shared" ref="M50:M63" si="11">N50</f>
        <v>0</v>
      </c>
      <c r="N50">
        <v>0</v>
      </c>
      <c r="O50">
        <v>999</v>
      </c>
      <c r="P50">
        <v>0</v>
      </c>
      <c r="Q50">
        <v>0</v>
      </c>
      <c r="R50" t="s">
        <v>54</v>
      </c>
      <c r="S50">
        <v>0</v>
      </c>
      <c r="T50">
        <v>1</v>
      </c>
      <c r="U50" t="s">
        <v>54</v>
      </c>
      <c r="V50">
        <v>0</v>
      </c>
      <c r="W50">
        <v>1</v>
      </c>
      <c r="X50" t="s">
        <v>54</v>
      </c>
      <c r="Y50">
        <v>0</v>
      </c>
      <c r="Z50">
        <v>1</v>
      </c>
      <c r="AA50" t="s">
        <v>54</v>
      </c>
      <c r="AB50">
        <v>0</v>
      </c>
      <c r="AC50">
        <v>1</v>
      </c>
      <c r="AD50" t="s">
        <v>54</v>
      </c>
      <c r="AE50">
        <v>0</v>
      </c>
      <c r="AF50">
        <v>1</v>
      </c>
      <c r="AG50" t="s">
        <v>54</v>
      </c>
      <c r="AH50">
        <v>0</v>
      </c>
      <c r="AI50">
        <v>1</v>
      </c>
      <c r="AJ50">
        <v>0</v>
      </c>
      <c r="AK50" t="s">
        <v>54</v>
      </c>
      <c r="AL50">
        <v>0</v>
      </c>
      <c r="AM50">
        <v>1</v>
      </c>
      <c r="AN50" t="s">
        <v>107</v>
      </c>
      <c r="AO50" s="4">
        <f t="shared" ref="AO50:AP63" si="12">N50</f>
        <v>0</v>
      </c>
      <c r="AP50" s="4">
        <f t="shared" si="12"/>
        <v>999</v>
      </c>
      <c r="AQ50" t="s">
        <v>108</v>
      </c>
      <c r="AR50" s="4" t="str">
        <f t="shared" ref="AR50:AR64" si="13">$O$6</f>
        <v>BXX</v>
      </c>
      <c r="AS50" t="s">
        <v>14</v>
      </c>
      <c r="AT50" s="4" t="str">
        <f>$A$3&amp;".SN_HI"</f>
        <v>BXX_OVF1_FI1.SN_HI</v>
      </c>
      <c r="AU50" t="s">
        <v>14</v>
      </c>
      <c r="AV50" s="4" t="str">
        <f t="shared" ref="AV50:AV64" si="14">C50</f>
        <v>BXX Overflow High Alarm Delay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</row>
    <row r="51" spans="1:56" x14ac:dyDescent="0.25">
      <c r="A51" s="4" t="str">
        <f>$A$3&amp;"_AI_CV"</f>
        <v>BXX_OVF1_FI1_AI_CV</v>
      </c>
      <c r="B51" s="4" t="str">
        <f t="shared" si="10"/>
        <v>BXX_OVF1_FI1</v>
      </c>
      <c r="C51" s="4" t="str">
        <f>$C$3 &amp; " Current Value"</f>
        <v>BXX Overflow Current Value</v>
      </c>
      <c r="D51" s="2">
        <f t="shared" si="5"/>
        <v>26</v>
      </c>
      <c r="E51" t="s">
        <v>13</v>
      </c>
      <c r="F51" t="s">
        <v>14</v>
      </c>
      <c r="G51">
        <v>0</v>
      </c>
      <c r="H51" t="s">
        <v>13</v>
      </c>
      <c r="I51" t="s">
        <v>14</v>
      </c>
      <c r="J51">
        <v>0</v>
      </c>
      <c r="K51">
        <v>0</v>
      </c>
      <c r="L51" s="5" t="s">
        <v>121</v>
      </c>
      <c r="M51" s="4">
        <f t="shared" si="11"/>
        <v>0</v>
      </c>
      <c r="N51" s="3">
        <v>0</v>
      </c>
      <c r="O51" s="3">
        <v>150</v>
      </c>
      <c r="P51">
        <v>0</v>
      </c>
      <c r="Q51" s="4">
        <f>(O51-N51)*0.01</f>
        <v>1.5</v>
      </c>
      <c r="R51" t="s">
        <v>54</v>
      </c>
      <c r="S51">
        <v>0</v>
      </c>
      <c r="T51">
        <v>1</v>
      </c>
      <c r="U51" t="s">
        <v>54</v>
      </c>
      <c r="V51">
        <v>0</v>
      </c>
      <c r="W51">
        <v>1</v>
      </c>
      <c r="X51" t="s">
        <v>54</v>
      </c>
      <c r="Y51">
        <v>0</v>
      </c>
      <c r="Z51">
        <v>1</v>
      </c>
      <c r="AA51" t="s">
        <v>54</v>
      </c>
      <c r="AB51">
        <v>0</v>
      </c>
      <c r="AC51">
        <v>1</v>
      </c>
      <c r="AD51" t="s">
        <v>54</v>
      </c>
      <c r="AE51">
        <v>0</v>
      </c>
      <c r="AF51">
        <v>1</v>
      </c>
      <c r="AG51" t="s">
        <v>54</v>
      </c>
      <c r="AH51">
        <v>0</v>
      </c>
      <c r="AI51">
        <v>1</v>
      </c>
      <c r="AJ51">
        <v>0</v>
      </c>
      <c r="AK51" t="s">
        <v>54</v>
      </c>
      <c r="AL51">
        <v>0</v>
      </c>
      <c r="AM51">
        <v>1</v>
      </c>
      <c r="AN51" t="s">
        <v>107</v>
      </c>
      <c r="AO51" s="4">
        <f t="shared" si="12"/>
        <v>0</v>
      </c>
      <c r="AP51" s="4">
        <f t="shared" si="12"/>
        <v>150</v>
      </c>
      <c r="AQ51" t="s">
        <v>108</v>
      </c>
      <c r="AR51" s="4" t="str">
        <f t="shared" si="13"/>
        <v>BXX</v>
      </c>
      <c r="AS51" t="s">
        <v>14</v>
      </c>
      <c r="AT51" s="4" t="str">
        <f>$A$3&amp;".AI_CV"</f>
        <v>BXX_OVF1_FI1.AI_CV</v>
      </c>
      <c r="AU51" t="s">
        <v>14</v>
      </c>
      <c r="AV51" s="4" t="str">
        <f t="shared" si="14"/>
        <v>BXX Overflow Current Value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</row>
    <row r="52" spans="1:56" s="5" customFormat="1" x14ac:dyDescent="0.25">
      <c r="A52" s="4" t="str">
        <f>$A$3&amp;"_AI_TD"</f>
        <v>BXX_OVF1_FI1_AI_TD</v>
      </c>
      <c r="B52" s="4" t="str">
        <f t="shared" si="10"/>
        <v>BXX_OVF1_FI1</v>
      </c>
      <c r="C52" s="4" t="str">
        <f>$C$3 &amp; " Total Today"</f>
        <v>BXX Overflow Total Today</v>
      </c>
      <c r="D52" s="2">
        <f t="shared" si="5"/>
        <v>24</v>
      </c>
      <c r="E52" s="5" t="s">
        <v>13</v>
      </c>
      <c r="F52" s="5" t="s">
        <v>14</v>
      </c>
      <c r="G52" s="5">
        <v>0</v>
      </c>
      <c r="H52" s="5" t="s">
        <v>13</v>
      </c>
      <c r="I52" s="5" t="s">
        <v>14</v>
      </c>
      <c r="J52" s="5">
        <v>0</v>
      </c>
      <c r="K52" s="5">
        <v>0</v>
      </c>
      <c r="L52" s="5" t="s">
        <v>169</v>
      </c>
      <c r="M52" s="4">
        <f t="shared" si="11"/>
        <v>0</v>
      </c>
      <c r="N52" s="3">
        <v>0</v>
      </c>
      <c r="O52" s="3">
        <v>20000</v>
      </c>
      <c r="P52" s="5">
        <v>0</v>
      </c>
      <c r="Q52" s="5">
        <v>1</v>
      </c>
      <c r="R52" s="5" t="s">
        <v>54</v>
      </c>
      <c r="S52" s="5">
        <v>0</v>
      </c>
      <c r="T52" s="5">
        <v>1</v>
      </c>
      <c r="U52" s="5" t="s">
        <v>54</v>
      </c>
      <c r="V52" s="5">
        <v>0</v>
      </c>
      <c r="W52" s="5">
        <v>1</v>
      </c>
      <c r="X52" s="5" t="s">
        <v>54</v>
      </c>
      <c r="Y52" s="5">
        <v>0</v>
      </c>
      <c r="Z52" s="5">
        <v>1</v>
      </c>
      <c r="AA52" s="5" t="s">
        <v>54</v>
      </c>
      <c r="AB52" s="5">
        <v>0</v>
      </c>
      <c r="AC52" s="5">
        <v>1</v>
      </c>
      <c r="AD52" s="5" t="s">
        <v>54</v>
      </c>
      <c r="AE52" s="5">
        <v>0</v>
      </c>
      <c r="AF52" s="5">
        <v>1</v>
      </c>
      <c r="AG52" s="5" t="s">
        <v>54</v>
      </c>
      <c r="AH52" s="5">
        <v>0</v>
      </c>
      <c r="AI52" s="5">
        <v>1</v>
      </c>
      <c r="AJ52" s="5">
        <v>0</v>
      </c>
      <c r="AK52" s="5" t="s">
        <v>54</v>
      </c>
      <c r="AL52" s="5">
        <v>0</v>
      </c>
      <c r="AM52" s="5">
        <v>1</v>
      </c>
      <c r="AN52" s="5" t="s">
        <v>107</v>
      </c>
      <c r="AO52" s="4">
        <f t="shared" si="12"/>
        <v>0</v>
      </c>
      <c r="AP52" s="4">
        <f t="shared" si="12"/>
        <v>20000</v>
      </c>
      <c r="AQ52" s="5" t="s">
        <v>108</v>
      </c>
      <c r="AR52" s="4" t="str">
        <f t="shared" si="13"/>
        <v>BXX</v>
      </c>
      <c r="AS52" s="5" t="s">
        <v>14</v>
      </c>
      <c r="AT52" s="4" t="str">
        <f>$A$3&amp;".AI_TD"</f>
        <v>BXX_OVF1_FI1.AI_TD</v>
      </c>
      <c r="AU52" s="5" t="s">
        <v>14</v>
      </c>
      <c r="AV52" s="4" t="str">
        <f t="shared" si="14"/>
        <v>BXX Overflow Total Today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</row>
    <row r="53" spans="1:56" s="5" customFormat="1" x14ac:dyDescent="0.25">
      <c r="A53" s="4" t="str">
        <f>$A$3&amp;"_AI_YT"</f>
        <v>BXX_OVF1_FI1_AI_YT</v>
      </c>
      <c r="B53" s="4" t="str">
        <f t="shared" si="10"/>
        <v>BXX_OVF1_FI1</v>
      </c>
      <c r="C53" s="4" t="str">
        <f>$C$3 &amp; " Total Yesterday"</f>
        <v>BXX Overflow Total Yesterday</v>
      </c>
      <c r="D53" s="2">
        <f t="shared" si="5"/>
        <v>28</v>
      </c>
      <c r="E53" s="5" t="s">
        <v>13</v>
      </c>
      <c r="F53" s="5" t="s">
        <v>14</v>
      </c>
      <c r="G53" s="5">
        <v>0</v>
      </c>
      <c r="H53" s="5" t="s">
        <v>13</v>
      </c>
      <c r="I53" s="5" t="s">
        <v>14</v>
      </c>
      <c r="J53" s="5">
        <v>0</v>
      </c>
      <c r="K53" s="5">
        <v>0</v>
      </c>
      <c r="L53" s="5" t="s">
        <v>169</v>
      </c>
      <c r="M53" s="4">
        <f t="shared" si="11"/>
        <v>0</v>
      </c>
      <c r="N53" s="4">
        <f>$N$52</f>
        <v>0</v>
      </c>
      <c r="O53" s="4">
        <f>$O$52</f>
        <v>20000</v>
      </c>
      <c r="P53" s="5">
        <v>0</v>
      </c>
      <c r="Q53" s="5">
        <v>1</v>
      </c>
      <c r="R53" s="5" t="s">
        <v>54</v>
      </c>
      <c r="S53" s="5">
        <v>0</v>
      </c>
      <c r="T53" s="5">
        <v>1</v>
      </c>
      <c r="U53" s="5" t="s">
        <v>54</v>
      </c>
      <c r="V53" s="5">
        <v>0</v>
      </c>
      <c r="W53" s="5">
        <v>1</v>
      </c>
      <c r="X53" s="5" t="s">
        <v>54</v>
      </c>
      <c r="Y53" s="5">
        <v>0</v>
      </c>
      <c r="Z53" s="5">
        <v>1</v>
      </c>
      <c r="AA53" s="5" t="s">
        <v>54</v>
      </c>
      <c r="AB53" s="5">
        <v>0</v>
      </c>
      <c r="AC53" s="5">
        <v>1</v>
      </c>
      <c r="AD53" s="5" t="s">
        <v>54</v>
      </c>
      <c r="AE53" s="5">
        <v>0</v>
      </c>
      <c r="AF53" s="5">
        <v>1</v>
      </c>
      <c r="AG53" s="5" t="s">
        <v>54</v>
      </c>
      <c r="AH53" s="5">
        <v>0</v>
      </c>
      <c r="AI53" s="5">
        <v>1</v>
      </c>
      <c r="AJ53" s="5">
        <v>0</v>
      </c>
      <c r="AK53" s="5" t="s">
        <v>54</v>
      </c>
      <c r="AL53" s="5">
        <v>0</v>
      </c>
      <c r="AM53" s="5">
        <v>1</v>
      </c>
      <c r="AN53" s="5" t="s">
        <v>107</v>
      </c>
      <c r="AO53" s="4">
        <f t="shared" si="12"/>
        <v>0</v>
      </c>
      <c r="AP53" s="4">
        <f t="shared" si="12"/>
        <v>20000</v>
      </c>
      <c r="AQ53" s="5" t="s">
        <v>108</v>
      </c>
      <c r="AR53" s="4" t="str">
        <f t="shared" si="13"/>
        <v>BXX</v>
      </c>
      <c r="AS53" s="5" t="s">
        <v>14</v>
      </c>
      <c r="AT53" s="4" t="str">
        <f>$A$3&amp;".AI_YT"</f>
        <v>BXX_OVF1_FI1.AI_YT</v>
      </c>
      <c r="AU53" s="5" t="s">
        <v>14</v>
      </c>
      <c r="AV53" s="4" t="str">
        <f t="shared" si="14"/>
        <v>BXX Overflow Total Yesterday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</row>
    <row r="54" spans="1:56" x14ac:dyDescent="0.25">
      <c r="A54" s="4" t="str">
        <f>$A$3&amp;"_AO_XM"</f>
        <v>BXX_OVF1_FI1_AO_XM</v>
      </c>
      <c r="B54" s="4" t="str">
        <f t="shared" si="10"/>
        <v>BXX_OVF1_FI1</v>
      </c>
      <c r="C54" s="4" t="str">
        <f>$C$3 &amp; " Span Setpoint"</f>
        <v>BXX Overflow Span Setpoint</v>
      </c>
      <c r="D54" s="2">
        <f t="shared" si="5"/>
        <v>26</v>
      </c>
      <c r="E54" t="s">
        <v>14</v>
      </c>
      <c r="F54" t="s">
        <v>14</v>
      </c>
      <c r="G54">
        <v>0</v>
      </c>
      <c r="H54" t="s">
        <v>13</v>
      </c>
      <c r="I54" t="s">
        <v>14</v>
      </c>
      <c r="J54">
        <v>0</v>
      </c>
      <c r="K54">
        <v>0</v>
      </c>
      <c r="L54" s="5" t="s">
        <v>121</v>
      </c>
      <c r="M54" s="4">
        <f t="shared" si="11"/>
        <v>0</v>
      </c>
      <c r="N54" s="4">
        <f t="shared" ref="N54:N60" si="15">$N$51</f>
        <v>0</v>
      </c>
      <c r="O54" s="4">
        <f t="shared" ref="O54:O60" si="16">$O$51</f>
        <v>150</v>
      </c>
      <c r="P54">
        <v>0</v>
      </c>
      <c r="Q54">
        <v>0</v>
      </c>
      <c r="R54" t="s">
        <v>54</v>
      </c>
      <c r="S54">
        <v>0</v>
      </c>
      <c r="T54">
        <v>1</v>
      </c>
      <c r="U54" t="s">
        <v>54</v>
      </c>
      <c r="V54">
        <v>0</v>
      </c>
      <c r="W54">
        <v>1</v>
      </c>
      <c r="X54" t="s">
        <v>54</v>
      </c>
      <c r="Y54">
        <v>0</v>
      </c>
      <c r="Z54">
        <v>1</v>
      </c>
      <c r="AA54" t="s">
        <v>54</v>
      </c>
      <c r="AB54">
        <v>0</v>
      </c>
      <c r="AC54">
        <v>1</v>
      </c>
      <c r="AD54" t="s">
        <v>54</v>
      </c>
      <c r="AE54">
        <v>0</v>
      </c>
      <c r="AF54">
        <v>1</v>
      </c>
      <c r="AG54" t="s">
        <v>54</v>
      </c>
      <c r="AH54">
        <v>0</v>
      </c>
      <c r="AI54">
        <v>1</v>
      </c>
      <c r="AJ54">
        <v>0</v>
      </c>
      <c r="AK54" t="s">
        <v>54</v>
      </c>
      <c r="AL54">
        <v>0</v>
      </c>
      <c r="AM54">
        <v>1</v>
      </c>
      <c r="AN54" t="s">
        <v>107</v>
      </c>
      <c r="AO54" s="4">
        <f t="shared" si="12"/>
        <v>0</v>
      </c>
      <c r="AP54" s="4">
        <f t="shared" si="12"/>
        <v>150</v>
      </c>
      <c r="AQ54" t="s">
        <v>108</v>
      </c>
      <c r="AR54" s="4" t="str">
        <f t="shared" si="13"/>
        <v>BXX</v>
      </c>
      <c r="AS54" t="s">
        <v>14</v>
      </c>
      <c r="AT54" s="4" t="str">
        <f>$A$3&amp;".AO_XM"</f>
        <v>BXX_OVF1_FI1.AO_XM</v>
      </c>
      <c r="AU54" t="s">
        <v>14</v>
      </c>
      <c r="AV54" s="4" t="str">
        <f t="shared" si="14"/>
        <v>BXX Overflow Span Setpoint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</row>
    <row r="55" spans="1:56" x14ac:dyDescent="0.25">
      <c r="A55" s="4" t="str">
        <f>$A$3&amp;"_AO_LO"</f>
        <v>BXX_OVF1_FI1_AO_LO</v>
      </c>
      <c r="B55" s="4" t="str">
        <f t="shared" si="10"/>
        <v>BXX_OVF1_FI1</v>
      </c>
      <c r="C55" s="4" t="str">
        <f>$C$3 &amp; " Low Setpoint"</f>
        <v>BXX Overflow Low Setpoint</v>
      </c>
      <c r="D55" s="2">
        <f t="shared" si="5"/>
        <v>25</v>
      </c>
      <c r="E55" t="s">
        <v>14</v>
      </c>
      <c r="F55" t="s">
        <v>13</v>
      </c>
      <c r="G55" s="5">
        <v>900</v>
      </c>
      <c r="H55" t="s">
        <v>13</v>
      </c>
      <c r="I55" t="s">
        <v>14</v>
      </c>
      <c r="J55">
        <v>0</v>
      </c>
      <c r="K55">
        <v>0</v>
      </c>
      <c r="L55" s="5" t="s">
        <v>121</v>
      </c>
      <c r="M55" s="4">
        <f t="shared" si="11"/>
        <v>0</v>
      </c>
      <c r="N55" s="4">
        <f t="shared" si="15"/>
        <v>0</v>
      </c>
      <c r="O55" s="4">
        <f t="shared" si="16"/>
        <v>150</v>
      </c>
      <c r="P55">
        <v>0</v>
      </c>
      <c r="Q55">
        <v>0</v>
      </c>
      <c r="R55" t="s">
        <v>54</v>
      </c>
      <c r="S55">
        <v>0</v>
      </c>
      <c r="T55">
        <v>1</v>
      </c>
      <c r="U55" t="s">
        <v>54</v>
      </c>
      <c r="V55">
        <v>0</v>
      </c>
      <c r="W55">
        <v>1</v>
      </c>
      <c r="X55" t="s">
        <v>54</v>
      </c>
      <c r="Y55">
        <v>0</v>
      </c>
      <c r="Z55">
        <v>1</v>
      </c>
      <c r="AA55" t="s">
        <v>54</v>
      </c>
      <c r="AB55">
        <v>0</v>
      </c>
      <c r="AC55">
        <v>1</v>
      </c>
      <c r="AD55" t="s">
        <v>54</v>
      </c>
      <c r="AE55">
        <v>0</v>
      </c>
      <c r="AF55">
        <v>1</v>
      </c>
      <c r="AG55" t="s">
        <v>54</v>
      </c>
      <c r="AH55">
        <v>0</v>
      </c>
      <c r="AI55">
        <v>1</v>
      </c>
      <c r="AJ55">
        <v>0</v>
      </c>
      <c r="AK55" t="s">
        <v>54</v>
      </c>
      <c r="AL55">
        <v>0</v>
      </c>
      <c r="AM55">
        <v>1</v>
      </c>
      <c r="AN55" t="s">
        <v>107</v>
      </c>
      <c r="AO55" s="4">
        <f t="shared" si="12"/>
        <v>0</v>
      </c>
      <c r="AP55" s="4">
        <f t="shared" si="12"/>
        <v>150</v>
      </c>
      <c r="AQ55" t="s">
        <v>108</v>
      </c>
      <c r="AR55" s="4" t="str">
        <f t="shared" si="13"/>
        <v>BXX</v>
      </c>
      <c r="AS55" t="s">
        <v>14</v>
      </c>
      <c r="AT55" s="4" t="str">
        <f>$A$3&amp;".AO_LO"</f>
        <v>BXX_OVF1_FI1.AO_LO</v>
      </c>
      <c r="AU55" t="s">
        <v>14</v>
      </c>
      <c r="AV55" s="4" t="str">
        <f t="shared" si="14"/>
        <v>BXX Overflow Low Setpoint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</row>
    <row r="56" spans="1:56" x14ac:dyDescent="0.25">
      <c r="A56" s="4" t="str">
        <f>$A$3&amp;"_AO_HH"</f>
        <v>BXX_OVF1_FI1_AO_HH</v>
      </c>
      <c r="B56" s="4" t="str">
        <f t="shared" si="10"/>
        <v>BXX_OVF1_FI1</v>
      </c>
      <c r="C56" s="4" t="str">
        <f>$C$3 &amp; " HIHI Setpoint"</f>
        <v>BXX Overflow HIHI Setpoint</v>
      </c>
      <c r="D56" s="2">
        <f t="shared" si="5"/>
        <v>26</v>
      </c>
      <c r="E56" t="s">
        <v>14</v>
      </c>
      <c r="F56" t="s">
        <v>13</v>
      </c>
      <c r="G56" s="5">
        <v>900</v>
      </c>
      <c r="H56" t="s">
        <v>13</v>
      </c>
      <c r="I56" t="s">
        <v>14</v>
      </c>
      <c r="J56">
        <v>0</v>
      </c>
      <c r="K56">
        <v>0</v>
      </c>
      <c r="L56" s="5" t="s">
        <v>121</v>
      </c>
      <c r="M56" s="4">
        <f t="shared" si="11"/>
        <v>0</v>
      </c>
      <c r="N56" s="4">
        <f t="shared" si="15"/>
        <v>0</v>
      </c>
      <c r="O56" s="4">
        <f t="shared" si="16"/>
        <v>150</v>
      </c>
      <c r="P56">
        <v>0</v>
      </c>
      <c r="Q56">
        <v>0</v>
      </c>
      <c r="R56" t="s">
        <v>54</v>
      </c>
      <c r="S56">
        <v>0</v>
      </c>
      <c r="T56">
        <v>1</v>
      </c>
      <c r="U56" t="s">
        <v>54</v>
      </c>
      <c r="V56">
        <v>0</v>
      </c>
      <c r="W56">
        <v>1</v>
      </c>
      <c r="X56" t="s">
        <v>54</v>
      </c>
      <c r="Y56">
        <v>0</v>
      </c>
      <c r="Z56">
        <v>1</v>
      </c>
      <c r="AA56" t="s">
        <v>54</v>
      </c>
      <c r="AB56">
        <v>0</v>
      </c>
      <c r="AC56">
        <v>1</v>
      </c>
      <c r="AD56" t="s">
        <v>54</v>
      </c>
      <c r="AE56">
        <v>0</v>
      </c>
      <c r="AF56">
        <v>1</v>
      </c>
      <c r="AG56" t="s">
        <v>54</v>
      </c>
      <c r="AH56">
        <v>0</v>
      </c>
      <c r="AI56">
        <v>1</v>
      </c>
      <c r="AJ56">
        <v>0</v>
      </c>
      <c r="AK56" t="s">
        <v>54</v>
      </c>
      <c r="AL56">
        <v>0</v>
      </c>
      <c r="AM56">
        <v>1</v>
      </c>
      <c r="AN56" t="s">
        <v>107</v>
      </c>
      <c r="AO56" s="4">
        <f t="shared" si="12"/>
        <v>0</v>
      </c>
      <c r="AP56" s="4">
        <f t="shared" si="12"/>
        <v>150</v>
      </c>
      <c r="AQ56" t="s">
        <v>108</v>
      </c>
      <c r="AR56" s="4" t="str">
        <f t="shared" si="13"/>
        <v>BXX</v>
      </c>
      <c r="AS56" t="s">
        <v>14</v>
      </c>
      <c r="AT56" s="4" t="str">
        <f>$A$3&amp;".AO_HH"</f>
        <v>BXX_OVF1_FI1.AO_HH</v>
      </c>
      <c r="AU56" t="s">
        <v>14</v>
      </c>
      <c r="AV56" s="4" t="str">
        <f t="shared" si="14"/>
        <v>BXX Overflow HIHI Setpoint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</row>
    <row r="57" spans="1:56" x14ac:dyDescent="0.25">
      <c r="A57" s="4" t="str">
        <f>$A$3&amp;"_E2_CV"</f>
        <v>BXX_OVF1_FI1_E2_CV</v>
      </c>
      <c r="B57" s="4" t="str">
        <f t="shared" si="10"/>
        <v>BXX_OVF1_FI1</v>
      </c>
      <c r="C57" s="4" t="str">
        <f>$C$3 &amp; " Units 2"</f>
        <v>BXX Overflow Units 2</v>
      </c>
      <c r="D57" s="2">
        <f t="shared" si="5"/>
        <v>20</v>
      </c>
      <c r="E57" t="s">
        <v>14</v>
      </c>
      <c r="F57" t="s">
        <v>14</v>
      </c>
      <c r="G57">
        <v>0</v>
      </c>
      <c r="H57" t="s">
        <v>13</v>
      </c>
      <c r="I57" t="s">
        <v>14</v>
      </c>
      <c r="J57">
        <v>0</v>
      </c>
      <c r="K57">
        <v>0</v>
      </c>
      <c r="L57" s="5" t="s">
        <v>329</v>
      </c>
      <c r="M57" s="4">
        <f t="shared" si="11"/>
        <v>0</v>
      </c>
      <c r="N57" s="4">
        <f t="shared" si="15"/>
        <v>0</v>
      </c>
      <c r="O57" s="4">
        <f t="shared" si="16"/>
        <v>150</v>
      </c>
      <c r="P57">
        <v>0</v>
      </c>
      <c r="Q57">
        <v>0</v>
      </c>
      <c r="R57" t="s">
        <v>54</v>
      </c>
      <c r="S57">
        <v>0</v>
      </c>
      <c r="T57">
        <v>1</v>
      </c>
      <c r="U57" t="s">
        <v>54</v>
      </c>
      <c r="V57">
        <v>0</v>
      </c>
      <c r="W57">
        <v>1</v>
      </c>
      <c r="X57" t="s">
        <v>54</v>
      </c>
      <c r="Y57">
        <v>0</v>
      </c>
      <c r="Z57">
        <v>1</v>
      </c>
      <c r="AA57" t="s">
        <v>54</v>
      </c>
      <c r="AB57">
        <v>0</v>
      </c>
      <c r="AC57">
        <v>1</v>
      </c>
      <c r="AD57" t="s">
        <v>54</v>
      </c>
      <c r="AE57">
        <v>0</v>
      </c>
      <c r="AF57">
        <v>1</v>
      </c>
      <c r="AG57" t="s">
        <v>54</v>
      </c>
      <c r="AH57">
        <v>0</v>
      </c>
      <c r="AI57">
        <v>1</v>
      </c>
      <c r="AJ57">
        <v>0</v>
      </c>
      <c r="AK57" t="s">
        <v>54</v>
      </c>
      <c r="AL57">
        <v>0</v>
      </c>
      <c r="AM57">
        <v>1</v>
      </c>
      <c r="AN57" t="s">
        <v>107</v>
      </c>
      <c r="AO57" s="4">
        <f t="shared" si="12"/>
        <v>0</v>
      </c>
      <c r="AP57" s="4">
        <f t="shared" si="12"/>
        <v>150</v>
      </c>
      <c r="AQ57" t="s">
        <v>108</v>
      </c>
      <c r="AR57" s="4" t="str">
        <f t="shared" si="13"/>
        <v>BXX</v>
      </c>
      <c r="AS57" t="s">
        <v>14</v>
      </c>
      <c r="AT57" s="4" t="str">
        <f>$A$3&amp;".E2_CV"</f>
        <v>BXX_OVF1_FI1.E2_CV</v>
      </c>
      <c r="AU57" t="s">
        <v>14</v>
      </c>
      <c r="AV57" s="4" t="str">
        <f t="shared" si="14"/>
        <v>BXX Overflow Units 2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</row>
    <row r="58" spans="1:56" x14ac:dyDescent="0.25">
      <c r="A58" s="4" t="str">
        <f>$A$3&amp;"_AO_HI"</f>
        <v>BXX_OVF1_FI1_AO_HI</v>
      </c>
      <c r="B58" s="4" t="str">
        <f t="shared" si="10"/>
        <v>BXX_OVF1_FI1</v>
      </c>
      <c r="C58" s="4" t="str">
        <f>$C$3 &amp; " High Setpoint"</f>
        <v>BXX Overflow High Setpoint</v>
      </c>
      <c r="D58" s="2">
        <f t="shared" si="5"/>
        <v>26</v>
      </c>
      <c r="E58" t="s">
        <v>14</v>
      </c>
      <c r="F58" t="s">
        <v>13</v>
      </c>
      <c r="G58" s="5">
        <v>900</v>
      </c>
      <c r="H58" t="s">
        <v>13</v>
      </c>
      <c r="I58" t="s">
        <v>14</v>
      </c>
      <c r="J58">
        <v>0</v>
      </c>
      <c r="K58">
        <v>0</v>
      </c>
      <c r="L58" s="5" t="s">
        <v>121</v>
      </c>
      <c r="M58" s="4">
        <f t="shared" si="11"/>
        <v>0</v>
      </c>
      <c r="N58" s="4">
        <f t="shared" si="15"/>
        <v>0</v>
      </c>
      <c r="O58" s="4">
        <f t="shared" si="16"/>
        <v>150</v>
      </c>
      <c r="P58">
        <v>0</v>
      </c>
      <c r="Q58">
        <v>0</v>
      </c>
      <c r="R58" t="s">
        <v>54</v>
      </c>
      <c r="S58">
        <v>0</v>
      </c>
      <c r="T58">
        <v>1</v>
      </c>
      <c r="U58" t="s">
        <v>54</v>
      </c>
      <c r="V58">
        <v>0</v>
      </c>
      <c r="W58">
        <v>1</v>
      </c>
      <c r="X58" t="s">
        <v>54</v>
      </c>
      <c r="Y58">
        <v>0</v>
      </c>
      <c r="Z58">
        <v>1</v>
      </c>
      <c r="AA58" t="s">
        <v>54</v>
      </c>
      <c r="AB58">
        <v>0</v>
      </c>
      <c r="AC58">
        <v>1</v>
      </c>
      <c r="AD58" t="s">
        <v>54</v>
      </c>
      <c r="AE58">
        <v>0</v>
      </c>
      <c r="AF58">
        <v>1</v>
      </c>
      <c r="AG58" t="s">
        <v>54</v>
      </c>
      <c r="AH58">
        <v>0</v>
      </c>
      <c r="AI58">
        <v>1</v>
      </c>
      <c r="AJ58">
        <v>0</v>
      </c>
      <c r="AK58" t="s">
        <v>54</v>
      </c>
      <c r="AL58">
        <v>0</v>
      </c>
      <c r="AM58">
        <v>1</v>
      </c>
      <c r="AN58" t="s">
        <v>107</v>
      </c>
      <c r="AO58" s="4">
        <f t="shared" si="12"/>
        <v>0</v>
      </c>
      <c r="AP58" s="4">
        <f t="shared" si="12"/>
        <v>150</v>
      </c>
      <c r="AQ58" t="s">
        <v>108</v>
      </c>
      <c r="AR58" s="4" t="str">
        <f t="shared" si="13"/>
        <v>BXX</v>
      </c>
      <c r="AS58" t="s">
        <v>14</v>
      </c>
      <c r="AT58" s="4" t="str">
        <f>$A$3&amp;".AO_HI"</f>
        <v>BXX_OVF1_FI1.AO_HI</v>
      </c>
      <c r="AU58" t="s">
        <v>14</v>
      </c>
      <c r="AV58" s="4" t="str">
        <f t="shared" si="14"/>
        <v>BXX Overflow High Setpoint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</row>
    <row r="59" spans="1:56" x14ac:dyDescent="0.25">
      <c r="A59" s="4" t="str">
        <f>$A$3&amp;"_AO_SV"</f>
        <v>BXX_OVF1_FI1_AO_SV</v>
      </c>
      <c r="B59" s="4" t="str">
        <f t="shared" si="10"/>
        <v>BXX_OVF1_FI1</v>
      </c>
      <c r="C59" s="4" t="str">
        <f>$C$3 &amp; " Override Value"</f>
        <v>BXX Overflow Override Value</v>
      </c>
      <c r="D59" s="2">
        <f t="shared" si="5"/>
        <v>27</v>
      </c>
      <c r="E59" t="s">
        <v>14</v>
      </c>
      <c r="F59" t="s">
        <v>13</v>
      </c>
      <c r="G59" s="5">
        <v>900</v>
      </c>
      <c r="H59" t="s">
        <v>13</v>
      </c>
      <c r="I59" t="s">
        <v>14</v>
      </c>
      <c r="J59">
        <v>0</v>
      </c>
      <c r="K59">
        <v>0</v>
      </c>
      <c r="L59" s="5" t="s">
        <v>121</v>
      </c>
      <c r="M59" s="4">
        <f t="shared" si="11"/>
        <v>0</v>
      </c>
      <c r="N59" s="4">
        <f t="shared" si="15"/>
        <v>0</v>
      </c>
      <c r="O59" s="4">
        <f t="shared" si="16"/>
        <v>150</v>
      </c>
      <c r="P59">
        <v>0</v>
      </c>
      <c r="Q59">
        <v>0</v>
      </c>
      <c r="R59" t="s">
        <v>54</v>
      </c>
      <c r="S59">
        <v>0</v>
      </c>
      <c r="T59">
        <v>1</v>
      </c>
      <c r="U59" t="s">
        <v>54</v>
      </c>
      <c r="V59">
        <v>0</v>
      </c>
      <c r="W59">
        <v>1</v>
      </c>
      <c r="X59" t="s">
        <v>54</v>
      </c>
      <c r="Y59">
        <v>0</v>
      </c>
      <c r="Z59">
        <v>1</v>
      </c>
      <c r="AA59" t="s">
        <v>54</v>
      </c>
      <c r="AB59">
        <v>0</v>
      </c>
      <c r="AC59">
        <v>1</v>
      </c>
      <c r="AD59" t="s">
        <v>54</v>
      </c>
      <c r="AE59">
        <v>0</v>
      </c>
      <c r="AF59">
        <v>1</v>
      </c>
      <c r="AG59" t="s">
        <v>54</v>
      </c>
      <c r="AH59">
        <v>0</v>
      </c>
      <c r="AI59">
        <v>1</v>
      </c>
      <c r="AJ59">
        <v>0</v>
      </c>
      <c r="AK59" t="s">
        <v>54</v>
      </c>
      <c r="AL59">
        <v>0</v>
      </c>
      <c r="AM59">
        <v>1</v>
      </c>
      <c r="AN59" t="s">
        <v>107</v>
      </c>
      <c r="AO59" s="4">
        <f t="shared" si="12"/>
        <v>0</v>
      </c>
      <c r="AP59" s="4">
        <f t="shared" si="12"/>
        <v>150</v>
      </c>
      <c r="AQ59" t="s">
        <v>108</v>
      </c>
      <c r="AR59" s="4" t="str">
        <f t="shared" si="13"/>
        <v>BXX</v>
      </c>
      <c r="AS59" t="s">
        <v>14</v>
      </c>
      <c r="AT59" s="4" t="str">
        <f>$A$3&amp;".AO_SV"</f>
        <v>BXX_OVF1_FI1.AO_SV</v>
      </c>
      <c r="AU59" t="s">
        <v>14</v>
      </c>
      <c r="AV59" s="4" t="str">
        <f t="shared" si="14"/>
        <v>BXX Overflow Override Value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</row>
    <row r="60" spans="1:56" x14ac:dyDescent="0.25">
      <c r="A60" s="4" t="str">
        <f>$A$3&amp;"_AO_EM"</f>
        <v>BXX_OVF1_FI1_AO_EM</v>
      </c>
      <c r="B60" s="4" t="str">
        <f t="shared" si="10"/>
        <v>BXX_OVF1_FI1</v>
      </c>
      <c r="C60" s="4" t="str">
        <f>$C$3 &amp; " Zero Setpoint"</f>
        <v>BXX Overflow Zero Setpoint</v>
      </c>
      <c r="D60" s="2">
        <f t="shared" si="5"/>
        <v>26</v>
      </c>
      <c r="E60" t="s">
        <v>14</v>
      </c>
      <c r="F60" t="s">
        <v>14</v>
      </c>
      <c r="G60">
        <v>0</v>
      </c>
      <c r="H60" t="s">
        <v>13</v>
      </c>
      <c r="I60" t="s">
        <v>14</v>
      </c>
      <c r="J60">
        <v>0</v>
      </c>
      <c r="K60">
        <v>0</v>
      </c>
      <c r="L60" s="5" t="s">
        <v>121</v>
      </c>
      <c r="M60" s="4">
        <f t="shared" si="11"/>
        <v>0</v>
      </c>
      <c r="N60" s="4">
        <f t="shared" si="15"/>
        <v>0</v>
      </c>
      <c r="O60" s="4">
        <f t="shared" si="16"/>
        <v>150</v>
      </c>
      <c r="P60">
        <v>0</v>
      </c>
      <c r="Q60">
        <v>0</v>
      </c>
      <c r="R60" t="s">
        <v>54</v>
      </c>
      <c r="S60">
        <v>0</v>
      </c>
      <c r="T60">
        <v>1</v>
      </c>
      <c r="U60" t="s">
        <v>54</v>
      </c>
      <c r="V60">
        <v>0</v>
      </c>
      <c r="W60">
        <v>1</v>
      </c>
      <c r="X60" t="s">
        <v>54</v>
      </c>
      <c r="Y60">
        <v>0</v>
      </c>
      <c r="Z60">
        <v>1</v>
      </c>
      <c r="AA60" t="s">
        <v>54</v>
      </c>
      <c r="AB60">
        <v>0</v>
      </c>
      <c r="AC60">
        <v>1</v>
      </c>
      <c r="AD60" t="s">
        <v>54</v>
      </c>
      <c r="AE60">
        <v>0</v>
      </c>
      <c r="AF60">
        <v>1</v>
      </c>
      <c r="AG60" t="s">
        <v>54</v>
      </c>
      <c r="AH60">
        <v>0</v>
      </c>
      <c r="AI60">
        <v>1</v>
      </c>
      <c r="AJ60">
        <v>0</v>
      </c>
      <c r="AK60" t="s">
        <v>54</v>
      </c>
      <c r="AL60">
        <v>0</v>
      </c>
      <c r="AM60">
        <v>1</v>
      </c>
      <c r="AN60" t="s">
        <v>107</v>
      </c>
      <c r="AO60" s="4">
        <f t="shared" si="12"/>
        <v>0</v>
      </c>
      <c r="AP60" s="4">
        <f t="shared" si="12"/>
        <v>150</v>
      </c>
      <c r="AQ60" t="s">
        <v>108</v>
      </c>
      <c r="AR60" s="4" t="str">
        <f t="shared" si="13"/>
        <v>BXX</v>
      </c>
      <c r="AS60" t="s">
        <v>14</v>
      </c>
      <c r="AT60" s="4" t="str">
        <f>$A$3&amp;".AO_EM"</f>
        <v>BXX_OVF1_FI1.AO_EM</v>
      </c>
      <c r="AU60" t="s">
        <v>14</v>
      </c>
      <c r="AV60" s="4" t="str">
        <f t="shared" si="14"/>
        <v>BXX Overflow Zero Setpoint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</row>
    <row r="61" spans="1:56" x14ac:dyDescent="0.25">
      <c r="A61" s="4" t="str">
        <f>$A$3&amp;"_SN_HH"</f>
        <v>BXX_OVF1_FI1_SN_HH</v>
      </c>
      <c r="B61" s="4" t="str">
        <f t="shared" si="10"/>
        <v>BXX_OVF1_FI1</v>
      </c>
      <c r="C61" s="4" t="str">
        <f>$C$3 &amp; " HIHI Alarm Delay"</f>
        <v>BXX Overflow HIHI Alarm Delay</v>
      </c>
      <c r="D61" s="2">
        <f t="shared" si="5"/>
        <v>29</v>
      </c>
      <c r="E61" t="s">
        <v>14</v>
      </c>
      <c r="F61" t="s">
        <v>13</v>
      </c>
      <c r="G61" s="5">
        <v>900</v>
      </c>
      <c r="H61" t="s">
        <v>13</v>
      </c>
      <c r="I61" t="s">
        <v>14</v>
      </c>
      <c r="J61">
        <v>0</v>
      </c>
      <c r="K61">
        <v>0</v>
      </c>
      <c r="L61" t="s">
        <v>109</v>
      </c>
      <c r="M61" s="4">
        <f t="shared" si="11"/>
        <v>0</v>
      </c>
      <c r="N61">
        <v>0</v>
      </c>
      <c r="O61">
        <v>999</v>
      </c>
      <c r="P61">
        <v>0</v>
      </c>
      <c r="Q61">
        <v>0</v>
      </c>
      <c r="R61" t="s">
        <v>54</v>
      </c>
      <c r="S61">
        <v>0</v>
      </c>
      <c r="T61">
        <v>1</v>
      </c>
      <c r="U61" t="s">
        <v>54</v>
      </c>
      <c r="V61">
        <v>0</v>
      </c>
      <c r="W61">
        <v>1</v>
      </c>
      <c r="X61" t="s">
        <v>54</v>
      </c>
      <c r="Y61">
        <v>0</v>
      </c>
      <c r="Z61">
        <v>1</v>
      </c>
      <c r="AA61" t="s">
        <v>54</v>
      </c>
      <c r="AB61">
        <v>0</v>
      </c>
      <c r="AC61">
        <v>1</v>
      </c>
      <c r="AD61" t="s">
        <v>54</v>
      </c>
      <c r="AE61">
        <v>0</v>
      </c>
      <c r="AF61">
        <v>1</v>
      </c>
      <c r="AG61" t="s">
        <v>54</v>
      </c>
      <c r="AH61">
        <v>0</v>
      </c>
      <c r="AI61">
        <v>1</v>
      </c>
      <c r="AJ61">
        <v>0</v>
      </c>
      <c r="AK61" t="s">
        <v>54</v>
      </c>
      <c r="AL61">
        <v>0</v>
      </c>
      <c r="AM61">
        <v>1</v>
      </c>
      <c r="AN61" t="s">
        <v>107</v>
      </c>
      <c r="AO61" s="4">
        <f t="shared" si="12"/>
        <v>0</v>
      </c>
      <c r="AP61" s="4">
        <f t="shared" si="12"/>
        <v>999</v>
      </c>
      <c r="AQ61" t="s">
        <v>108</v>
      </c>
      <c r="AR61" s="4" t="str">
        <f t="shared" si="13"/>
        <v>BXX</v>
      </c>
      <c r="AS61" t="s">
        <v>14</v>
      </c>
      <c r="AT61" s="4" t="str">
        <f>$A$3&amp;".SN_HH"</f>
        <v>BXX_OVF1_FI1.SN_HH</v>
      </c>
      <c r="AU61" t="s">
        <v>14</v>
      </c>
      <c r="AV61" s="4" t="str">
        <f t="shared" si="14"/>
        <v>BXX Overflow HIHI Alarm Delay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</row>
    <row r="62" spans="1:56" x14ac:dyDescent="0.25">
      <c r="A62" s="4" t="str">
        <f>$A$3&amp;"_SN_LO"</f>
        <v>BXX_OVF1_FI1_SN_LO</v>
      </c>
      <c r="B62" s="4" t="str">
        <f t="shared" si="10"/>
        <v>BXX_OVF1_FI1</v>
      </c>
      <c r="C62" s="4" t="str">
        <f>$C$3 &amp; " Low Alarm Delay"</f>
        <v>BXX Overflow Low Alarm Delay</v>
      </c>
      <c r="D62" s="2">
        <f t="shared" si="5"/>
        <v>28</v>
      </c>
      <c r="E62" t="s">
        <v>14</v>
      </c>
      <c r="F62" t="s">
        <v>13</v>
      </c>
      <c r="G62" s="5">
        <v>900</v>
      </c>
      <c r="H62" t="s">
        <v>13</v>
      </c>
      <c r="I62" t="s">
        <v>14</v>
      </c>
      <c r="J62">
        <v>0</v>
      </c>
      <c r="K62">
        <v>0</v>
      </c>
      <c r="L62" t="s">
        <v>109</v>
      </c>
      <c r="M62" s="4">
        <f t="shared" si="11"/>
        <v>0</v>
      </c>
      <c r="N62">
        <v>0</v>
      </c>
      <c r="O62">
        <v>999</v>
      </c>
      <c r="P62">
        <v>0</v>
      </c>
      <c r="Q62">
        <v>0</v>
      </c>
      <c r="R62" t="s">
        <v>54</v>
      </c>
      <c r="S62">
        <v>0</v>
      </c>
      <c r="T62">
        <v>1</v>
      </c>
      <c r="U62" t="s">
        <v>54</v>
      </c>
      <c r="V62">
        <v>0</v>
      </c>
      <c r="W62">
        <v>1</v>
      </c>
      <c r="X62" t="s">
        <v>54</v>
      </c>
      <c r="Y62">
        <v>0</v>
      </c>
      <c r="Z62">
        <v>1</v>
      </c>
      <c r="AA62" t="s">
        <v>54</v>
      </c>
      <c r="AB62">
        <v>0</v>
      </c>
      <c r="AC62">
        <v>1</v>
      </c>
      <c r="AD62" t="s">
        <v>54</v>
      </c>
      <c r="AE62">
        <v>0</v>
      </c>
      <c r="AF62">
        <v>1</v>
      </c>
      <c r="AG62" t="s">
        <v>54</v>
      </c>
      <c r="AH62">
        <v>0</v>
      </c>
      <c r="AI62">
        <v>1</v>
      </c>
      <c r="AJ62">
        <v>0</v>
      </c>
      <c r="AK62" t="s">
        <v>54</v>
      </c>
      <c r="AL62">
        <v>0</v>
      </c>
      <c r="AM62">
        <v>1</v>
      </c>
      <c r="AN62" t="s">
        <v>107</v>
      </c>
      <c r="AO62" s="4">
        <f t="shared" si="12"/>
        <v>0</v>
      </c>
      <c r="AP62" s="4">
        <f t="shared" si="12"/>
        <v>999</v>
      </c>
      <c r="AQ62" t="s">
        <v>108</v>
      </c>
      <c r="AR62" s="4" t="str">
        <f t="shared" si="13"/>
        <v>BXX</v>
      </c>
      <c r="AS62" t="s">
        <v>14</v>
      </c>
      <c r="AT62" s="4" t="str">
        <f>$A$3&amp;".SN_LO"</f>
        <v>BXX_OVF1_FI1.SN_LO</v>
      </c>
      <c r="AU62" t="s">
        <v>14</v>
      </c>
      <c r="AV62" s="4" t="str">
        <f t="shared" si="14"/>
        <v>BXX Overflow Low Alarm Delay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</row>
    <row r="63" spans="1:56" x14ac:dyDescent="0.25">
      <c r="A63" s="4" t="str">
        <f>$A$3&amp;"_AO_LL"</f>
        <v>BXX_OVF1_FI1_AO_LL</v>
      </c>
      <c r="B63" s="4" t="str">
        <f t="shared" si="10"/>
        <v>BXX_OVF1_FI1</v>
      </c>
      <c r="C63" s="4" t="str">
        <f>$C$3 &amp; " LOLO Setpoint"</f>
        <v>BXX Overflow LOLO Setpoint</v>
      </c>
      <c r="D63" s="2">
        <f t="shared" si="5"/>
        <v>26</v>
      </c>
      <c r="E63" t="s">
        <v>14</v>
      </c>
      <c r="F63" t="s">
        <v>13</v>
      </c>
      <c r="G63" s="5">
        <v>900</v>
      </c>
      <c r="H63" t="s">
        <v>13</v>
      </c>
      <c r="I63" t="s">
        <v>14</v>
      </c>
      <c r="J63">
        <v>0</v>
      </c>
      <c r="K63">
        <v>0</v>
      </c>
      <c r="L63" s="5" t="s">
        <v>121</v>
      </c>
      <c r="M63" s="4">
        <f t="shared" si="11"/>
        <v>0</v>
      </c>
      <c r="N63" s="4">
        <f t="shared" ref="N63" si="17">$N$51</f>
        <v>0</v>
      </c>
      <c r="O63" s="4">
        <f t="shared" ref="O63" si="18">$O$51</f>
        <v>150</v>
      </c>
      <c r="P63">
        <v>0</v>
      </c>
      <c r="Q63">
        <v>0</v>
      </c>
      <c r="R63" t="s">
        <v>54</v>
      </c>
      <c r="S63">
        <v>0</v>
      </c>
      <c r="T63">
        <v>1</v>
      </c>
      <c r="U63" t="s">
        <v>54</v>
      </c>
      <c r="V63">
        <v>0</v>
      </c>
      <c r="W63">
        <v>1</v>
      </c>
      <c r="X63" t="s">
        <v>54</v>
      </c>
      <c r="Y63">
        <v>0</v>
      </c>
      <c r="Z63">
        <v>1</v>
      </c>
      <c r="AA63" t="s">
        <v>54</v>
      </c>
      <c r="AB63">
        <v>0</v>
      </c>
      <c r="AC63">
        <v>1</v>
      </c>
      <c r="AD63" t="s">
        <v>54</v>
      </c>
      <c r="AE63">
        <v>0</v>
      </c>
      <c r="AF63">
        <v>1</v>
      </c>
      <c r="AG63" t="s">
        <v>54</v>
      </c>
      <c r="AH63">
        <v>0</v>
      </c>
      <c r="AI63">
        <v>1</v>
      </c>
      <c r="AJ63">
        <v>0</v>
      </c>
      <c r="AK63" t="s">
        <v>54</v>
      </c>
      <c r="AL63">
        <v>0</v>
      </c>
      <c r="AM63">
        <v>1</v>
      </c>
      <c r="AN63" t="s">
        <v>107</v>
      </c>
      <c r="AO63" s="4">
        <f t="shared" si="12"/>
        <v>0</v>
      </c>
      <c r="AP63" s="4">
        <f t="shared" si="12"/>
        <v>150</v>
      </c>
      <c r="AQ63" t="s">
        <v>108</v>
      </c>
      <c r="AR63" s="4" t="str">
        <f t="shared" si="13"/>
        <v>BXX</v>
      </c>
      <c r="AS63" t="s">
        <v>14</v>
      </c>
      <c r="AT63" s="4" t="str">
        <f>$A$3&amp;".AO_LL"</f>
        <v>BXX_OVF1_FI1.AO_LL</v>
      </c>
      <c r="AU63" t="s">
        <v>14</v>
      </c>
      <c r="AV63" s="4" t="str">
        <f t="shared" si="14"/>
        <v>BXX Overflow LOLO Setpoint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</row>
    <row r="64" spans="1:56" x14ac:dyDescent="0.25">
      <c r="A64" s="4" t="str">
        <f>(LEFT($A$3,8))&amp;"_"&amp;"TL1_AI_CV"</f>
        <v>BXX_OVF1_TL1_AI_CV</v>
      </c>
      <c r="B64" s="4" t="str">
        <f t="shared" si="10"/>
        <v>BXX_OVF1_FI1</v>
      </c>
      <c r="C64" s="4" t="str">
        <f>$C$3 &amp; " Event Volume"</f>
        <v>BXX Overflow Event Volume</v>
      </c>
      <c r="D64" s="2">
        <f t="shared" si="5"/>
        <v>25</v>
      </c>
      <c r="E64" t="s">
        <v>13</v>
      </c>
      <c r="F64" t="s">
        <v>14</v>
      </c>
      <c r="G64">
        <v>0</v>
      </c>
      <c r="H64" t="s">
        <v>13</v>
      </c>
      <c r="I64" t="s">
        <v>14</v>
      </c>
      <c r="J64">
        <v>0</v>
      </c>
      <c r="K64">
        <v>0</v>
      </c>
      <c r="L64" t="s">
        <v>169</v>
      </c>
      <c r="M64">
        <v>0</v>
      </c>
      <c r="N64">
        <v>0</v>
      </c>
      <c r="O64">
        <v>1000000</v>
      </c>
      <c r="P64">
        <v>0</v>
      </c>
      <c r="Q64">
        <v>1</v>
      </c>
      <c r="R64" t="s">
        <v>54</v>
      </c>
      <c r="S64">
        <v>0</v>
      </c>
      <c r="T64">
        <v>1</v>
      </c>
      <c r="U64" t="s">
        <v>54</v>
      </c>
      <c r="V64">
        <v>0</v>
      </c>
      <c r="W64">
        <v>1</v>
      </c>
      <c r="X64" t="s">
        <v>54</v>
      </c>
      <c r="Y64">
        <v>0</v>
      </c>
      <c r="Z64">
        <v>1</v>
      </c>
      <c r="AA64" t="s">
        <v>54</v>
      </c>
      <c r="AB64">
        <v>0</v>
      </c>
      <c r="AC64">
        <v>1</v>
      </c>
      <c r="AD64" t="s">
        <v>54</v>
      </c>
      <c r="AE64">
        <v>0</v>
      </c>
      <c r="AF64">
        <v>1</v>
      </c>
      <c r="AG64" t="s">
        <v>54</v>
      </c>
      <c r="AH64">
        <v>0</v>
      </c>
      <c r="AI64">
        <v>1</v>
      </c>
      <c r="AJ64">
        <v>0</v>
      </c>
      <c r="AK64" t="s">
        <v>54</v>
      </c>
      <c r="AL64">
        <v>0</v>
      </c>
      <c r="AM64">
        <v>1</v>
      </c>
      <c r="AN64" t="s">
        <v>107</v>
      </c>
      <c r="AO64">
        <v>0</v>
      </c>
      <c r="AP64">
        <v>1000000</v>
      </c>
      <c r="AQ64" t="s">
        <v>108</v>
      </c>
      <c r="AR64" s="4" t="str">
        <f t="shared" si="13"/>
        <v>BXX</v>
      </c>
      <c r="AS64" t="s">
        <v>14</v>
      </c>
      <c r="AT64" s="4" t="str">
        <f>(LEFT($A$3,8))&amp;"_"&amp;"TL1.AI_CV"</f>
        <v>BXX_OVF1_TL1.AI_CV</v>
      </c>
      <c r="AU64" t="s">
        <v>13</v>
      </c>
      <c r="AV64" s="4" t="str">
        <f t="shared" si="14"/>
        <v>BXX Overflow Event Volume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</row>
    <row r="65" spans="1:16" x14ac:dyDescent="0.25">
      <c r="A65" t="s">
        <v>123</v>
      </c>
      <c r="B65" t="s">
        <v>16</v>
      </c>
      <c r="C65" t="s">
        <v>17</v>
      </c>
      <c r="D65" s="2">
        <f t="shared" si="5"/>
        <v>7</v>
      </c>
      <c r="E65" t="s">
        <v>39</v>
      </c>
      <c r="F65" t="s">
        <v>18</v>
      </c>
      <c r="G65" t="s">
        <v>19</v>
      </c>
      <c r="H65" t="s">
        <v>40</v>
      </c>
      <c r="I65" t="s">
        <v>124</v>
      </c>
      <c r="J65" t="s">
        <v>125</v>
      </c>
      <c r="K65" t="s">
        <v>51</v>
      </c>
      <c r="L65" t="s">
        <v>53</v>
      </c>
    </row>
    <row r="66" spans="1:16" x14ac:dyDescent="0.25">
      <c r="A66" s="4" t="str">
        <f>$A$3&amp;"_DI_NM"</f>
        <v>BXX_OVF1_FI1_DI_NM</v>
      </c>
      <c r="B66" s="4" t="str">
        <f t="shared" si="10"/>
        <v>BXX_OVF1_FI1</v>
      </c>
      <c r="C66" s="4" t="str">
        <f t="shared" si="10"/>
        <v>BXX_OVF1_FI1</v>
      </c>
      <c r="D66" s="2">
        <f t="shared" si="5"/>
        <v>12</v>
      </c>
      <c r="E66" t="s">
        <v>14</v>
      </c>
      <c r="F66" t="s">
        <v>14</v>
      </c>
      <c r="G66">
        <v>0</v>
      </c>
      <c r="H66" t="s">
        <v>13</v>
      </c>
      <c r="I66">
        <v>24</v>
      </c>
      <c r="J66" t="s">
        <v>116</v>
      </c>
      <c r="K66" t="s">
        <v>116</v>
      </c>
      <c r="L66" t="s">
        <v>13</v>
      </c>
    </row>
    <row r="67" spans="1:16" x14ac:dyDescent="0.25">
      <c r="A67" t="s">
        <v>126</v>
      </c>
      <c r="B67" t="s">
        <v>127</v>
      </c>
      <c r="C67" t="s">
        <v>128</v>
      </c>
      <c r="D67" s="2">
        <f t="shared" si="5"/>
        <v>20</v>
      </c>
      <c r="E67" t="s">
        <v>14</v>
      </c>
      <c r="F67" t="s">
        <v>14</v>
      </c>
      <c r="G67">
        <v>0</v>
      </c>
      <c r="H67" t="s">
        <v>14</v>
      </c>
      <c r="I67">
        <v>131</v>
      </c>
    </row>
    <row r="68" spans="1:16" x14ac:dyDescent="0.25">
      <c r="A68" t="s">
        <v>604</v>
      </c>
      <c r="B68" t="s">
        <v>127</v>
      </c>
      <c r="C68" t="s">
        <v>129</v>
      </c>
      <c r="D68" s="2">
        <f t="shared" si="5"/>
        <v>32</v>
      </c>
      <c r="E68" t="s">
        <v>14</v>
      </c>
      <c r="F68" t="s">
        <v>14</v>
      </c>
      <c r="G68">
        <v>0</v>
      </c>
      <c r="H68" t="s">
        <v>14</v>
      </c>
      <c r="I68">
        <v>131</v>
      </c>
    </row>
    <row r="69" spans="1:16" x14ac:dyDescent="0.25">
      <c r="A69" t="s">
        <v>130</v>
      </c>
      <c r="B69" t="s">
        <v>16</v>
      </c>
      <c r="C69" t="s">
        <v>17</v>
      </c>
      <c r="E69" t="s">
        <v>39</v>
      </c>
      <c r="F69" t="s">
        <v>18</v>
      </c>
      <c r="G69" t="s">
        <v>19</v>
      </c>
      <c r="H69" t="s">
        <v>40</v>
      </c>
      <c r="I69" t="s">
        <v>124</v>
      </c>
      <c r="J69" t="s">
        <v>125</v>
      </c>
      <c r="K69" t="s">
        <v>47</v>
      </c>
      <c r="L69" t="s">
        <v>48</v>
      </c>
      <c r="M69" t="s">
        <v>49</v>
      </c>
      <c r="N69" t="s">
        <v>50</v>
      </c>
      <c r="O69" t="s">
        <v>51</v>
      </c>
      <c r="P69" t="s">
        <v>53</v>
      </c>
    </row>
    <row r="70" spans="1:16" x14ac:dyDescent="0.25">
      <c r="A70" s="4" t="str">
        <f>$A$3&amp;"_PB_HH_RN"</f>
        <v>BXX_OVF1_FI1_PB_HH_RN</v>
      </c>
      <c r="B70" s="4" t="str">
        <f>$A$3</f>
        <v>BXX_OVF1_FI1</v>
      </c>
      <c r="C70" s="4" t="str">
        <f>$C$3 &amp; " HIHI Alarm Disabled Reason"</f>
        <v>BXX Overflow HIHI Alarm Disabled Reason</v>
      </c>
      <c r="D70" s="2">
        <f t="shared" si="5"/>
        <v>39</v>
      </c>
      <c r="E70" t="s">
        <v>14</v>
      </c>
      <c r="F70" t="s">
        <v>14</v>
      </c>
      <c r="G70">
        <v>0</v>
      </c>
      <c r="H70" t="s">
        <v>13</v>
      </c>
      <c r="I70">
        <v>131</v>
      </c>
      <c r="J70" t="s">
        <v>131</v>
      </c>
      <c r="K70" s="5" t="s">
        <v>630</v>
      </c>
      <c r="L70" t="s">
        <v>13</v>
      </c>
      <c r="M70" s="4" t="str">
        <f>A70</f>
        <v>BXX_OVF1_FI1_PB_HH_RN</v>
      </c>
      <c r="N70" t="s">
        <v>14</v>
      </c>
      <c r="O70" s="4" t="str">
        <f>C70</f>
        <v>BXX Overflow HIHI Alarm Disabled Reason</v>
      </c>
    </row>
    <row r="71" spans="1:16" x14ac:dyDescent="0.25">
      <c r="A71" s="4" t="str">
        <f>$A$3&amp;"_PB_ER_RN"</f>
        <v>BXX_OVF1_FI1_PB_ER_RN</v>
      </c>
      <c r="B71" s="4" t="str">
        <f t="shared" ref="B71" si="19">$A$3</f>
        <v>BXX_OVF1_FI1</v>
      </c>
      <c r="C71" s="4" t="str">
        <f>$C$3 &amp; " Sig Error Alarm Dis Reason"</f>
        <v>BXX Overflow Sig Error Alarm Dis Reason</v>
      </c>
      <c r="D71" s="2">
        <f t="shared" si="5"/>
        <v>39</v>
      </c>
      <c r="E71" t="s">
        <v>14</v>
      </c>
      <c r="F71" t="s">
        <v>14</v>
      </c>
      <c r="G71">
        <v>0</v>
      </c>
      <c r="H71" t="s">
        <v>13</v>
      </c>
      <c r="I71">
        <v>131</v>
      </c>
      <c r="J71" t="s">
        <v>131</v>
      </c>
      <c r="K71" s="4" t="str">
        <f>$K$70</f>
        <v>BXXCPU01_1</v>
      </c>
      <c r="L71" t="s">
        <v>13</v>
      </c>
      <c r="M71" s="4" t="str">
        <f t="shared" ref="M71" si="20">A71</f>
        <v>BXX_OVF1_FI1_PB_ER_RN</v>
      </c>
      <c r="N71" t="s">
        <v>14</v>
      </c>
      <c r="O71" s="4" t="str">
        <f t="shared" ref="O71" si="21">C71</f>
        <v>BXX Overflow Sig Error Alarm Dis Reason</v>
      </c>
    </row>
    <row r="72" spans="1:16" x14ac:dyDescent="0.25">
      <c r="A72" t="s">
        <v>560</v>
      </c>
      <c r="B72" t="s">
        <v>16</v>
      </c>
      <c r="C72" t="s">
        <v>17</v>
      </c>
      <c r="D72" s="2">
        <f t="shared" si="5"/>
        <v>7</v>
      </c>
      <c r="E72" t="s">
        <v>18</v>
      </c>
      <c r="F72" t="s">
        <v>19</v>
      </c>
      <c r="G72" t="s">
        <v>40</v>
      </c>
      <c r="H72" t="s">
        <v>53</v>
      </c>
    </row>
    <row r="73" spans="1:16" x14ac:dyDescent="0.25">
      <c r="A73" t="s">
        <v>458</v>
      </c>
      <c r="B73" t="s">
        <v>127</v>
      </c>
      <c r="C73" t="s">
        <v>132</v>
      </c>
      <c r="D73" s="2">
        <f t="shared" si="5"/>
        <v>44</v>
      </c>
      <c r="E73" t="s">
        <v>14</v>
      </c>
      <c r="F73">
        <v>0</v>
      </c>
      <c r="G73" t="s">
        <v>14</v>
      </c>
    </row>
    <row r="74" spans="1:16" x14ac:dyDescent="0.25">
      <c r="A74" t="s">
        <v>459</v>
      </c>
      <c r="B74" t="s">
        <v>127</v>
      </c>
      <c r="C74" t="s">
        <v>133</v>
      </c>
      <c r="D74" s="2">
        <f t="shared" si="5"/>
        <v>41</v>
      </c>
      <c r="E74" t="s">
        <v>14</v>
      </c>
      <c r="F74">
        <v>0</v>
      </c>
      <c r="G74" t="s">
        <v>14</v>
      </c>
    </row>
    <row r="75" spans="1:16" x14ac:dyDescent="0.25">
      <c r="A75" t="s">
        <v>460</v>
      </c>
      <c r="B75" t="s">
        <v>127</v>
      </c>
      <c r="C75" t="s">
        <v>134</v>
      </c>
      <c r="D75" s="2">
        <f t="shared" si="5"/>
        <v>39</v>
      </c>
      <c r="E75" t="s">
        <v>14</v>
      </c>
      <c r="F75">
        <v>0</v>
      </c>
      <c r="G75" t="s">
        <v>14</v>
      </c>
    </row>
    <row r="76" spans="1:16" x14ac:dyDescent="0.25">
      <c r="A76" t="s">
        <v>461</v>
      </c>
      <c r="B76" t="s">
        <v>127</v>
      </c>
      <c r="C76" t="s">
        <v>135</v>
      </c>
      <c r="D76" s="2">
        <f t="shared" si="5"/>
        <v>39</v>
      </c>
      <c r="E76" t="s">
        <v>14</v>
      </c>
      <c r="F76">
        <v>0</v>
      </c>
      <c r="G76" t="s">
        <v>14</v>
      </c>
    </row>
    <row r="77" spans="1:16" x14ac:dyDescent="0.25">
      <c r="A77" t="s">
        <v>462</v>
      </c>
      <c r="B77" t="s">
        <v>127</v>
      </c>
      <c r="C77" t="s">
        <v>136</v>
      </c>
      <c r="D77" s="2">
        <f t="shared" si="5"/>
        <v>41</v>
      </c>
      <c r="E77" t="s">
        <v>14</v>
      </c>
      <c r="F77">
        <v>0</v>
      </c>
      <c r="G77" t="s">
        <v>14</v>
      </c>
    </row>
    <row r="78" spans="1:16" x14ac:dyDescent="0.25">
      <c r="A78" t="s">
        <v>463</v>
      </c>
      <c r="B78" t="s">
        <v>127</v>
      </c>
      <c r="C78" t="s">
        <v>137</v>
      </c>
      <c r="D78" s="2">
        <f t="shared" si="5"/>
        <v>49</v>
      </c>
      <c r="E78" t="s">
        <v>14</v>
      </c>
      <c r="F78">
        <v>0</v>
      </c>
      <c r="G78" t="s">
        <v>14</v>
      </c>
    </row>
    <row r="79" spans="1:16" x14ac:dyDescent="0.25">
      <c r="A79" t="s">
        <v>464</v>
      </c>
      <c r="B79" t="s">
        <v>127</v>
      </c>
      <c r="C79" t="s">
        <v>138</v>
      </c>
      <c r="D79" s="2">
        <f t="shared" si="5"/>
        <v>35</v>
      </c>
      <c r="E79" t="s">
        <v>14</v>
      </c>
      <c r="F79">
        <v>0</v>
      </c>
      <c r="G79" t="s">
        <v>14</v>
      </c>
    </row>
    <row r="80" spans="1:16" x14ac:dyDescent="0.25">
      <c r="A80" t="s">
        <v>465</v>
      </c>
      <c r="B80" t="s">
        <v>127</v>
      </c>
      <c r="C80" t="s">
        <v>139</v>
      </c>
      <c r="D80" s="2">
        <f t="shared" si="5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487</v>
      </c>
      <c r="B81" t="s">
        <v>127</v>
      </c>
      <c r="C81" t="s">
        <v>140</v>
      </c>
      <c r="D81" s="2">
        <f t="shared" si="5"/>
        <v>42</v>
      </c>
      <c r="E81" t="s">
        <v>14</v>
      </c>
      <c r="F81">
        <v>0</v>
      </c>
      <c r="G81" t="s">
        <v>14</v>
      </c>
    </row>
    <row r="82" spans="1:8" x14ac:dyDescent="0.25">
      <c r="A82" t="s">
        <v>426</v>
      </c>
      <c r="B82" t="s">
        <v>127</v>
      </c>
      <c r="C82" t="s">
        <v>141</v>
      </c>
      <c r="D82" s="2">
        <f t="shared" si="5"/>
        <v>31</v>
      </c>
      <c r="E82" t="s">
        <v>14</v>
      </c>
      <c r="F82">
        <v>0</v>
      </c>
      <c r="G82" t="s">
        <v>14</v>
      </c>
    </row>
    <row r="83" spans="1:8" x14ac:dyDescent="0.25">
      <c r="A83" t="s">
        <v>466</v>
      </c>
      <c r="B83" t="s">
        <v>127</v>
      </c>
      <c r="C83" t="s">
        <v>142</v>
      </c>
      <c r="D83" s="2">
        <f t="shared" ref="D83:D125" si="22">LEN(C83)</f>
        <v>41</v>
      </c>
      <c r="E83" t="s">
        <v>14</v>
      </c>
      <c r="F83">
        <v>0</v>
      </c>
      <c r="G83" t="s">
        <v>14</v>
      </c>
    </row>
    <row r="84" spans="1:8" x14ac:dyDescent="0.25">
      <c r="A84" t="s">
        <v>467</v>
      </c>
      <c r="B84" t="s">
        <v>127</v>
      </c>
      <c r="C84" t="s">
        <v>143</v>
      </c>
      <c r="D84" s="2">
        <f t="shared" si="22"/>
        <v>47</v>
      </c>
      <c r="E84" t="s">
        <v>14</v>
      </c>
      <c r="F84">
        <v>0</v>
      </c>
      <c r="G84" t="s">
        <v>14</v>
      </c>
    </row>
    <row r="85" spans="1:8" x14ac:dyDescent="0.25">
      <c r="A85" t="s">
        <v>468</v>
      </c>
      <c r="B85" t="s">
        <v>127</v>
      </c>
      <c r="C85" t="s">
        <v>144</v>
      </c>
      <c r="D85" s="2">
        <f t="shared" si="22"/>
        <v>30</v>
      </c>
      <c r="E85" t="s">
        <v>14</v>
      </c>
      <c r="F85">
        <v>0</v>
      </c>
      <c r="G85" t="s">
        <v>14</v>
      </c>
    </row>
    <row r="86" spans="1:8" x14ac:dyDescent="0.25">
      <c r="A86" t="s">
        <v>488</v>
      </c>
      <c r="B86" t="s">
        <v>127</v>
      </c>
      <c r="C86" t="s">
        <v>310</v>
      </c>
      <c r="D86" s="2">
        <f t="shared" si="22"/>
        <v>27</v>
      </c>
      <c r="E86" t="s">
        <v>14</v>
      </c>
      <c r="F86">
        <v>0</v>
      </c>
      <c r="G86" t="s">
        <v>14</v>
      </c>
    </row>
    <row r="87" spans="1:8" x14ac:dyDescent="0.25">
      <c r="A87" t="s">
        <v>430</v>
      </c>
      <c r="B87" t="s">
        <v>127</v>
      </c>
      <c r="C87" t="s">
        <v>311</v>
      </c>
      <c r="D87" s="2">
        <f t="shared" si="22"/>
        <v>35</v>
      </c>
      <c r="E87" t="s">
        <v>14</v>
      </c>
      <c r="F87">
        <v>0</v>
      </c>
      <c r="G87" t="s">
        <v>14</v>
      </c>
    </row>
    <row r="88" spans="1:8" x14ac:dyDescent="0.25">
      <c r="A88" t="s">
        <v>469</v>
      </c>
      <c r="B88" t="s">
        <v>127</v>
      </c>
      <c r="C88" t="s">
        <v>312</v>
      </c>
      <c r="D88" s="2">
        <f t="shared" si="22"/>
        <v>34</v>
      </c>
      <c r="E88" t="s">
        <v>14</v>
      </c>
      <c r="F88">
        <v>0</v>
      </c>
      <c r="G88" t="s">
        <v>14</v>
      </c>
    </row>
    <row r="89" spans="1:8" x14ac:dyDescent="0.25">
      <c r="A89" t="s">
        <v>561</v>
      </c>
      <c r="B89" t="s">
        <v>16</v>
      </c>
      <c r="C89" t="s">
        <v>17</v>
      </c>
      <c r="D89" s="2">
        <f t="shared" si="22"/>
        <v>7</v>
      </c>
      <c r="E89" t="s">
        <v>18</v>
      </c>
      <c r="F89" t="s">
        <v>19</v>
      </c>
      <c r="G89" t="s">
        <v>40</v>
      </c>
      <c r="H89" t="s">
        <v>53</v>
      </c>
    </row>
    <row r="90" spans="1:8" x14ac:dyDescent="0.25">
      <c r="A90" t="s">
        <v>493</v>
      </c>
      <c r="B90" t="s">
        <v>127</v>
      </c>
      <c r="C90" t="s">
        <v>146</v>
      </c>
      <c r="D90" s="2">
        <f t="shared" si="22"/>
        <v>49</v>
      </c>
      <c r="E90" t="s">
        <v>14</v>
      </c>
      <c r="F90">
        <v>0</v>
      </c>
      <c r="G90" t="s">
        <v>14</v>
      </c>
    </row>
    <row r="91" spans="1:8" x14ac:dyDescent="0.25">
      <c r="A91" t="s">
        <v>494</v>
      </c>
      <c r="B91" t="s">
        <v>127</v>
      </c>
      <c r="C91" t="s">
        <v>147</v>
      </c>
      <c r="D91" s="2">
        <f t="shared" si="22"/>
        <v>41</v>
      </c>
      <c r="E91" t="s">
        <v>14</v>
      </c>
      <c r="F91">
        <v>0</v>
      </c>
      <c r="G91" t="s">
        <v>14</v>
      </c>
    </row>
    <row r="92" spans="1:8" x14ac:dyDescent="0.25">
      <c r="A92" t="s">
        <v>499</v>
      </c>
      <c r="B92" t="s">
        <v>127</v>
      </c>
      <c r="C92" t="s">
        <v>148</v>
      </c>
      <c r="D92" s="2">
        <f t="shared" si="22"/>
        <v>37</v>
      </c>
      <c r="E92" t="s">
        <v>14</v>
      </c>
      <c r="F92">
        <v>0</v>
      </c>
      <c r="G92" t="s">
        <v>14</v>
      </c>
    </row>
    <row r="93" spans="1:8" x14ac:dyDescent="0.25">
      <c r="A93" t="s">
        <v>495</v>
      </c>
      <c r="B93" t="s">
        <v>127</v>
      </c>
      <c r="C93" t="s">
        <v>149</v>
      </c>
      <c r="D93" s="2">
        <f t="shared" si="22"/>
        <v>28</v>
      </c>
      <c r="E93" t="s">
        <v>14</v>
      </c>
      <c r="F93">
        <v>0</v>
      </c>
      <c r="G93" t="s">
        <v>14</v>
      </c>
    </row>
    <row r="94" spans="1:8" x14ac:dyDescent="0.25">
      <c r="A94" t="s">
        <v>496</v>
      </c>
      <c r="B94" t="s">
        <v>127</v>
      </c>
      <c r="C94" t="s">
        <v>150</v>
      </c>
      <c r="D94" s="2">
        <f t="shared" si="22"/>
        <v>26</v>
      </c>
      <c r="E94" t="s">
        <v>14</v>
      </c>
      <c r="F94">
        <v>0</v>
      </c>
      <c r="G94" t="s">
        <v>14</v>
      </c>
    </row>
    <row r="95" spans="1:8" x14ac:dyDescent="0.25">
      <c r="A95" t="s">
        <v>497</v>
      </c>
      <c r="B95" t="s">
        <v>127</v>
      </c>
      <c r="C95" t="s">
        <v>151</v>
      </c>
      <c r="D95" s="2">
        <f t="shared" si="22"/>
        <v>28</v>
      </c>
      <c r="E95" t="s">
        <v>14</v>
      </c>
      <c r="F95">
        <v>0</v>
      </c>
      <c r="G95" t="s">
        <v>14</v>
      </c>
    </row>
    <row r="96" spans="1:8" x14ac:dyDescent="0.25">
      <c r="A96" t="s">
        <v>498</v>
      </c>
      <c r="B96" t="s">
        <v>127</v>
      </c>
      <c r="C96" t="s">
        <v>152</v>
      </c>
      <c r="D96" s="2">
        <f t="shared" si="22"/>
        <v>26</v>
      </c>
      <c r="E96" t="s">
        <v>14</v>
      </c>
      <c r="F96">
        <v>0</v>
      </c>
      <c r="G96" t="s">
        <v>14</v>
      </c>
    </row>
    <row r="97" spans="1:7" x14ac:dyDescent="0.25">
      <c r="A97" t="s">
        <v>595</v>
      </c>
      <c r="B97" t="s">
        <v>127</v>
      </c>
      <c r="C97" t="s">
        <v>153</v>
      </c>
      <c r="D97" s="2">
        <f t="shared" si="22"/>
        <v>39</v>
      </c>
      <c r="E97" t="s">
        <v>14</v>
      </c>
      <c r="F97">
        <v>0</v>
      </c>
      <c r="G97" t="s">
        <v>14</v>
      </c>
    </row>
    <row r="98" spans="1:7" x14ac:dyDescent="0.25">
      <c r="A98" t="s">
        <v>596</v>
      </c>
      <c r="B98" t="s">
        <v>127</v>
      </c>
      <c r="C98" t="s">
        <v>154</v>
      </c>
      <c r="D98" s="2">
        <f t="shared" si="22"/>
        <v>37</v>
      </c>
      <c r="E98" t="s">
        <v>14</v>
      </c>
      <c r="F98">
        <v>0</v>
      </c>
      <c r="G98" t="s">
        <v>14</v>
      </c>
    </row>
    <row r="99" spans="1:7" x14ac:dyDescent="0.25">
      <c r="A99" t="s">
        <v>597</v>
      </c>
      <c r="B99" t="s">
        <v>127</v>
      </c>
      <c r="C99" t="s">
        <v>155</v>
      </c>
      <c r="D99" s="2">
        <f t="shared" si="22"/>
        <v>37</v>
      </c>
      <c r="E99" t="s">
        <v>14</v>
      </c>
      <c r="F99">
        <v>0</v>
      </c>
      <c r="G99" t="s">
        <v>14</v>
      </c>
    </row>
    <row r="100" spans="1:7" x14ac:dyDescent="0.25">
      <c r="A100" t="s">
        <v>598</v>
      </c>
      <c r="B100" t="s">
        <v>127</v>
      </c>
      <c r="C100" t="s">
        <v>156</v>
      </c>
      <c r="D100" s="2">
        <f t="shared" si="22"/>
        <v>39</v>
      </c>
      <c r="E100" t="s">
        <v>14</v>
      </c>
      <c r="F100">
        <v>0</v>
      </c>
      <c r="G100" t="s">
        <v>14</v>
      </c>
    </row>
    <row r="101" spans="1:7" x14ac:dyDescent="0.25">
      <c r="A101" t="s">
        <v>599</v>
      </c>
      <c r="B101" t="s">
        <v>127</v>
      </c>
      <c r="C101" t="s">
        <v>157</v>
      </c>
      <c r="D101" s="2">
        <f t="shared" si="22"/>
        <v>44</v>
      </c>
      <c r="E101" t="s">
        <v>14</v>
      </c>
      <c r="F101">
        <v>0</v>
      </c>
      <c r="G101" t="s">
        <v>14</v>
      </c>
    </row>
    <row r="102" spans="1:7" x14ac:dyDescent="0.25">
      <c r="A102" t="s">
        <v>600</v>
      </c>
      <c r="B102" t="s">
        <v>127</v>
      </c>
      <c r="C102" t="s">
        <v>158</v>
      </c>
      <c r="D102" s="2">
        <f t="shared" si="22"/>
        <v>44</v>
      </c>
      <c r="E102" t="s">
        <v>14</v>
      </c>
      <c r="F102">
        <v>0</v>
      </c>
      <c r="G102" t="s">
        <v>14</v>
      </c>
    </row>
    <row r="103" spans="1:7" x14ac:dyDescent="0.25">
      <c r="A103" t="s">
        <v>601</v>
      </c>
      <c r="B103" t="s">
        <v>127</v>
      </c>
      <c r="C103" t="s">
        <v>159</v>
      </c>
      <c r="D103" s="2">
        <f t="shared" si="22"/>
        <v>38</v>
      </c>
      <c r="E103" t="s">
        <v>14</v>
      </c>
      <c r="F103">
        <v>0</v>
      </c>
      <c r="G103" t="s">
        <v>14</v>
      </c>
    </row>
    <row r="104" spans="1:7" x14ac:dyDescent="0.25">
      <c r="A104" t="s">
        <v>602</v>
      </c>
      <c r="B104" t="s">
        <v>127</v>
      </c>
      <c r="C104" t="s">
        <v>160</v>
      </c>
      <c r="D104" s="2">
        <f t="shared" si="22"/>
        <v>37</v>
      </c>
      <c r="E104" t="s">
        <v>14</v>
      </c>
      <c r="F104">
        <v>0</v>
      </c>
      <c r="G104" t="s">
        <v>14</v>
      </c>
    </row>
    <row r="105" spans="1:7" x14ac:dyDescent="0.25">
      <c r="A105" t="s">
        <v>500</v>
      </c>
      <c r="B105" t="s">
        <v>127</v>
      </c>
      <c r="C105" t="s">
        <v>161</v>
      </c>
      <c r="D105" s="2">
        <f t="shared" si="22"/>
        <v>44</v>
      </c>
      <c r="E105" t="s">
        <v>14</v>
      </c>
      <c r="F105">
        <v>0</v>
      </c>
      <c r="G105" t="s">
        <v>14</v>
      </c>
    </row>
    <row r="106" spans="1:7" x14ac:dyDescent="0.25">
      <c r="A106" t="s">
        <v>501</v>
      </c>
      <c r="B106" t="s">
        <v>127</v>
      </c>
      <c r="C106" t="s">
        <v>313</v>
      </c>
      <c r="D106" s="2">
        <f t="shared" si="22"/>
        <v>33</v>
      </c>
      <c r="E106" t="s">
        <v>14</v>
      </c>
      <c r="F106">
        <v>0</v>
      </c>
      <c r="G106" t="s">
        <v>14</v>
      </c>
    </row>
    <row r="107" spans="1:7" x14ac:dyDescent="0.25">
      <c r="A107" t="s">
        <v>502</v>
      </c>
      <c r="B107" t="s">
        <v>127</v>
      </c>
      <c r="C107" t="s">
        <v>314</v>
      </c>
      <c r="D107" s="2">
        <f t="shared" si="22"/>
        <v>30</v>
      </c>
      <c r="E107" t="s">
        <v>14</v>
      </c>
      <c r="F107">
        <v>0</v>
      </c>
      <c r="G107" t="s">
        <v>14</v>
      </c>
    </row>
    <row r="108" spans="1:7" x14ac:dyDescent="0.25">
      <c r="A108" t="s">
        <v>503</v>
      </c>
      <c r="B108" t="s">
        <v>127</v>
      </c>
      <c r="C108" t="s">
        <v>315</v>
      </c>
      <c r="D108" s="2">
        <f t="shared" si="22"/>
        <v>30</v>
      </c>
      <c r="E108" t="s">
        <v>14</v>
      </c>
      <c r="F108">
        <v>0</v>
      </c>
      <c r="G108" t="s">
        <v>14</v>
      </c>
    </row>
    <row r="109" spans="1:7" x14ac:dyDescent="0.25">
      <c r="A109" t="s">
        <v>605</v>
      </c>
      <c r="B109" t="s">
        <v>127</v>
      </c>
      <c r="C109" t="s">
        <v>316</v>
      </c>
      <c r="D109" s="2">
        <f t="shared" si="22"/>
        <v>29</v>
      </c>
      <c r="E109" t="s">
        <v>14</v>
      </c>
      <c r="F109">
        <v>0</v>
      </c>
      <c r="G109" t="s">
        <v>14</v>
      </c>
    </row>
    <row r="110" spans="1:7" x14ac:dyDescent="0.25">
      <c r="A110" t="s">
        <v>606</v>
      </c>
      <c r="B110" t="s">
        <v>127</v>
      </c>
      <c r="C110" t="s">
        <v>317</v>
      </c>
      <c r="D110" s="2">
        <f t="shared" si="22"/>
        <v>30</v>
      </c>
      <c r="E110" t="s">
        <v>14</v>
      </c>
      <c r="F110">
        <v>0</v>
      </c>
      <c r="G110" t="s">
        <v>14</v>
      </c>
    </row>
    <row r="111" spans="1:7" x14ac:dyDescent="0.25">
      <c r="A111" t="s">
        <v>607</v>
      </c>
      <c r="B111" t="s">
        <v>127</v>
      </c>
      <c r="C111" t="s">
        <v>318</v>
      </c>
      <c r="D111" s="2">
        <f t="shared" si="22"/>
        <v>31</v>
      </c>
      <c r="E111" t="s">
        <v>14</v>
      </c>
      <c r="F111">
        <v>0</v>
      </c>
      <c r="G111" t="s">
        <v>14</v>
      </c>
    </row>
    <row r="112" spans="1:7" x14ac:dyDescent="0.25">
      <c r="A112" t="s">
        <v>608</v>
      </c>
      <c r="B112" t="s">
        <v>127</v>
      </c>
      <c r="C112" t="s">
        <v>319</v>
      </c>
      <c r="D112" s="2">
        <f t="shared" si="22"/>
        <v>32</v>
      </c>
      <c r="E112" t="s">
        <v>14</v>
      </c>
      <c r="F112">
        <v>0</v>
      </c>
      <c r="G112" t="s">
        <v>14</v>
      </c>
    </row>
    <row r="113" spans="1:8" x14ac:dyDescent="0.25">
      <c r="A113" t="s">
        <v>609</v>
      </c>
      <c r="B113" t="s">
        <v>127</v>
      </c>
      <c r="C113" t="s">
        <v>320</v>
      </c>
      <c r="D113" s="2">
        <f t="shared" si="22"/>
        <v>32</v>
      </c>
      <c r="E113" t="s">
        <v>14</v>
      </c>
      <c r="F113">
        <v>0</v>
      </c>
      <c r="G113" t="s">
        <v>14</v>
      </c>
    </row>
    <row r="114" spans="1:8" x14ac:dyDescent="0.25">
      <c r="A114" t="s">
        <v>610</v>
      </c>
      <c r="B114" t="s">
        <v>127</v>
      </c>
      <c r="C114" t="s">
        <v>321</v>
      </c>
      <c r="D114" s="2">
        <f t="shared" si="22"/>
        <v>30</v>
      </c>
      <c r="E114" t="s">
        <v>14</v>
      </c>
      <c r="F114">
        <v>0</v>
      </c>
      <c r="G114" t="s">
        <v>14</v>
      </c>
    </row>
    <row r="115" spans="1:8" x14ac:dyDescent="0.25">
      <c r="A115" t="s">
        <v>611</v>
      </c>
      <c r="B115" t="s">
        <v>127</v>
      </c>
      <c r="C115" t="s">
        <v>322</v>
      </c>
      <c r="D115" s="2">
        <f t="shared" si="22"/>
        <v>31</v>
      </c>
      <c r="E115" t="s">
        <v>14</v>
      </c>
      <c r="F115">
        <v>0</v>
      </c>
      <c r="G115" t="s">
        <v>14</v>
      </c>
    </row>
    <row r="116" spans="1:8" x14ac:dyDescent="0.25">
      <c r="A116" t="s">
        <v>612</v>
      </c>
      <c r="B116" t="s">
        <v>127</v>
      </c>
      <c r="C116" t="s">
        <v>323</v>
      </c>
      <c r="D116" s="2">
        <f t="shared" si="22"/>
        <v>32</v>
      </c>
      <c r="E116" t="s">
        <v>14</v>
      </c>
      <c r="F116">
        <v>0</v>
      </c>
      <c r="G116" t="s">
        <v>14</v>
      </c>
    </row>
    <row r="117" spans="1:8" x14ac:dyDescent="0.25">
      <c r="A117" t="s">
        <v>613</v>
      </c>
      <c r="B117" t="s">
        <v>127</v>
      </c>
      <c r="C117" t="s">
        <v>324</v>
      </c>
      <c r="D117" s="2">
        <f t="shared" si="22"/>
        <v>33</v>
      </c>
      <c r="E117" t="s">
        <v>14</v>
      </c>
      <c r="F117">
        <v>0</v>
      </c>
      <c r="G117" t="s">
        <v>14</v>
      </c>
    </row>
    <row r="118" spans="1:8" x14ac:dyDescent="0.25">
      <c r="A118" t="s">
        <v>614</v>
      </c>
      <c r="B118" t="s">
        <v>127</v>
      </c>
      <c r="C118" t="s">
        <v>325</v>
      </c>
      <c r="D118" s="2">
        <f t="shared" si="22"/>
        <v>34</v>
      </c>
      <c r="E118" t="s">
        <v>14</v>
      </c>
      <c r="F118">
        <v>0</v>
      </c>
      <c r="G118" t="s">
        <v>14</v>
      </c>
    </row>
    <row r="119" spans="1:8" x14ac:dyDescent="0.25">
      <c r="A119" t="s">
        <v>615</v>
      </c>
      <c r="B119" t="s">
        <v>127</v>
      </c>
      <c r="C119" t="s">
        <v>326</v>
      </c>
      <c r="D119" s="2">
        <f t="shared" si="22"/>
        <v>34</v>
      </c>
      <c r="E119" t="s">
        <v>14</v>
      </c>
      <c r="F119">
        <v>0</v>
      </c>
      <c r="G119" t="s">
        <v>14</v>
      </c>
    </row>
    <row r="120" spans="1:8" x14ac:dyDescent="0.25">
      <c r="A120" t="s">
        <v>616</v>
      </c>
      <c r="B120" t="s">
        <v>127</v>
      </c>
      <c r="C120" t="s">
        <v>327</v>
      </c>
      <c r="D120" s="2">
        <f t="shared" si="22"/>
        <v>32</v>
      </c>
      <c r="E120" t="s">
        <v>14</v>
      </c>
      <c r="F120">
        <v>0</v>
      </c>
      <c r="G120" t="s">
        <v>14</v>
      </c>
    </row>
    <row r="121" spans="1:8" x14ac:dyDescent="0.25">
      <c r="A121" t="s">
        <v>559</v>
      </c>
      <c r="B121" t="s">
        <v>16</v>
      </c>
      <c r="C121" t="s">
        <v>17</v>
      </c>
      <c r="D121" s="2">
        <f t="shared" si="22"/>
        <v>7</v>
      </c>
      <c r="E121" t="s">
        <v>18</v>
      </c>
      <c r="F121" t="s">
        <v>19</v>
      </c>
      <c r="G121" t="s">
        <v>40</v>
      </c>
      <c r="H121" t="s">
        <v>53</v>
      </c>
    </row>
    <row r="122" spans="1:8" x14ac:dyDescent="0.25">
      <c r="A122" t="s">
        <v>163</v>
      </c>
      <c r="B122" t="s">
        <v>127</v>
      </c>
      <c r="C122" t="s">
        <v>164</v>
      </c>
      <c r="D122" s="2">
        <f t="shared" si="22"/>
        <v>38</v>
      </c>
      <c r="E122" t="s">
        <v>14</v>
      </c>
      <c r="F122">
        <v>0</v>
      </c>
      <c r="G122" t="s">
        <v>14</v>
      </c>
    </row>
    <row r="123" spans="1:8" x14ac:dyDescent="0.25">
      <c r="A123" t="s">
        <v>165</v>
      </c>
      <c r="B123" t="s">
        <v>16</v>
      </c>
      <c r="C123" t="s">
        <v>17</v>
      </c>
      <c r="D123" s="2">
        <f t="shared" si="22"/>
        <v>7</v>
      </c>
      <c r="E123" t="s">
        <v>53</v>
      </c>
    </row>
    <row r="124" spans="1:8" x14ac:dyDescent="0.25">
      <c r="A124" t="s">
        <v>166</v>
      </c>
      <c r="B124" t="s">
        <v>127</v>
      </c>
      <c r="C124" t="s">
        <v>167</v>
      </c>
      <c r="D124" s="2">
        <f t="shared" si="22"/>
        <v>29</v>
      </c>
    </row>
    <row r="125" spans="1:8" x14ac:dyDescent="0.25">
      <c r="D125" s="2">
        <f t="shared" si="22"/>
        <v>0</v>
      </c>
    </row>
  </sheetData>
  <conditionalFormatting sqref="D6:D29 D31:D65 D70:D125">
    <cfRule type="cellIs" dxfId="181" priority="1" operator="greaterThan">
      <formula>49</formula>
    </cfRule>
  </conditionalFormatting>
  <conditionalFormatting sqref="D3:D4">
    <cfRule type="cellIs" dxfId="180" priority="5" operator="greaterThan">
      <formula>49</formula>
    </cfRule>
  </conditionalFormatting>
  <conditionalFormatting sqref="D66:D68">
    <cfRule type="cellIs" dxfId="179" priority="3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A27" zoomScale="80" zoomScaleNormal="100" zoomScaleSheetLayoutView="80" workbookViewId="0">
      <selection activeCell="K50" sqref="K50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431</v>
      </c>
      <c r="B3" s="4" t="str">
        <f>BXXPLC1!A5</f>
        <v>BXX</v>
      </c>
      <c r="C3" s="3" t="s">
        <v>171</v>
      </c>
      <c r="D3" s="2">
        <f>LEN(C3)</f>
        <v>12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BXX_SLP1_II1_DI_AD</v>
      </c>
      <c r="B6" s="4" t="str">
        <f>$A$4</f>
        <v>BXX_DSAB</v>
      </c>
      <c r="C6" s="4" t="str">
        <f>$C$3 &amp; " Disabled Analog Alarm"</f>
        <v>SLP1 Current Disabled Analog Alarm</v>
      </c>
      <c r="D6" s="2">
        <f>LEN(C6)</f>
        <v>34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BXX_SLP1_II1.DI_AD</v>
      </c>
      <c r="R6" t="s">
        <v>14</v>
      </c>
      <c r="S6" s="4" t="str">
        <f>C6</f>
        <v>SLP1 Current Disabled Analog Alarm</v>
      </c>
      <c r="T6">
        <v>0</v>
      </c>
      <c r="U6">
        <v>0</v>
      </c>
    </row>
    <row r="7" spans="1:23" x14ac:dyDescent="0.25">
      <c r="A7" s="4" t="str">
        <f>$A$3&amp;"_DI_SC"</f>
        <v>BXX_SLP1_II1_DI_SC</v>
      </c>
      <c r="B7" s="4" t="str">
        <f>$A$3</f>
        <v>BXX_SLP1_II1</v>
      </c>
      <c r="C7" s="4" t="str">
        <f>$C$3 &amp; " Scan Status"</f>
        <v>SLP1 Current Scan Status</v>
      </c>
      <c r="D7" s="2">
        <f t="shared" ref="D7:D28" si="0">LEN(C7)</f>
        <v>24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BXX_SLP1_II1.DI_SC</v>
      </c>
      <c r="R7" t="s">
        <v>14</v>
      </c>
      <c r="S7" s="4" t="str">
        <f t="shared" ref="S7:S28" si="1">C7</f>
        <v>SLP1 Current Scan Status</v>
      </c>
      <c r="T7">
        <v>0</v>
      </c>
      <c r="U7">
        <v>0</v>
      </c>
    </row>
    <row r="8" spans="1:23" x14ac:dyDescent="0.25">
      <c r="A8" s="4" t="str">
        <f>$A$3&amp;"_DA_LL"</f>
        <v>BXX_SLP1_II1_DA_LL</v>
      </c>
      <c r="B8" s="4" t="str">
        <f t="shared" ref="B8:B28" si="2">$A$3</f>
        <v>BXX_SLP1_II1</v>
      </c>
      <c r="C8" s="4" t="str">
        <f>$C$3 &amp; " LOLO Alarm"</f>
        <v>SLP1 Current LOLO Alarm</v>
      </c>
      <c r="D8" s="2">
        <f t="shared" si="0"/>
        <v>23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74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BXX_SLP1_II1.DA_LL</v>
      </c>
      <c r="R8" t="s">
        <v>14</v>
      </c>
      <c r="S8" s="4" t="str">
        <f t="shared" si="1"/>
        <v>SLP1 Current LOLO Alarm</v>
      </c>
      <c r="T8">
        <v>0</v>
      </c>
      <c r="U8">
        <v>0</v>
      </c>
    </row>
    <row r="9" spans="1:23" x14ac:dyDescent="0.25">
      <c r="A9" s="4" t="str">
        <f>$A$3&amp;"_DA_ER"</f>
        <v>BXX_SLP1_II1_DA_ER</v>
      </c>
      <c r="B9" s="4" t="str">
        <f t="shared" si="2"/>
        <v>BXX_SLP1_II1</v>
      </c>
      <c r="C9" s="4" t="str">
        <f>$C$3 &amp; " Signal Error Alarm"</f>
        <v>SLP1 Current Signal Error Alarm</v>
      </c>
      <c r="D9" s="2">
        <f t="shared" si="0"/>
        <v>31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BXX_SLP1_II1.DA_ER</v>
      </c>
      <c r="R9" t="s">
        <v>14</v>
      </c>
      <c r="S9" s="4" t="str">
        <f t="shared" si="1"/>
        <v>SLP1 Current Signal Error Alarm</v>
      </c>
      <c r="T9">
        <v>0</v>
      </c>
      <c r="U9">
        <v>0</v>
      </c>
    </row>
    <row r="10" spans="1:23" x14ac:dyDescent="0.25">
      <c r="A10" s="4" t="str">
        <f>$A$3&amp;"_PB_SM"</f>
        <v>BXX_SLP1_II1_PB_SM</v>
      </c>
      <c r="B10" s="4" t="str">
        <f t="shared" si="2"/>
        <v>BXX_SLP1_II1</v>
      </c>
      <c r="C10" s="4" t="str">
        <f>$C$3 &amp; " Alarm Test"</f>
        <v>SLP1 Current Alarm Test</v>
      </c>
      <c r="D10" s="2">
        <f t="shared" si="0"/>
        <v>23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BXX_SLP1_II1.PB_SM</v>
      </c>
      <c r="R10" t="s">
        <v>14</v>
      </c>
      <c r="S10" s="4" t="str">
        <f t="shared" si="1"/>
        <v>SLP1 Current Alarm Test</v>
      </c>
      <c r="T10">
        <v>0</v>
      </c>
      <c r="U10">
        <v>0</v>
      </c>
    </row>
    <row r="11" spans="1:23" x14ac:dyDescent="0.25">
      <c r="A11" s="4" t="str">
        <f>$A$3&amp;"_PB_SV"</f>
        <v>BXX_SLP1_II1_PB_SV</v>
      </c>
      <c r="B11" s="4" t="str">
        <f t="shared" si="2"/>
        <v>BXX_SLP1_II1</v>
      </c>
      <c r="C11" s="4" t="str">
        <f>$C$3 &amp; " Override Enable"</f>
        <v>SLP1 Current Override Enable</v>
      </c>
      <c r="D11" s="2">
        <f t="shared" si="0"/>
        <v>28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BXX_SLP1_II1.PB_SV</v>
      </c>
      <c r="R11" t="s">
        <v>14</v>
      </c>
      <c r="S11" s="4" t="str">
        <f t="shared" si="1"/>
        <v>SLP1 Current Override Enable</v>
      </c>
      <c r="T11">
        <v>0</v>
      </c>
      <c r="U11">
        <v>0</v>
      </c>
    </row>
    <row r="12" spans="1:23" x14ac:dyDescent="0.25">
      <c r="A12" s="4" t="str">
        <f>$A$3&amp;"_PB_AE"</f>
        <v>BXX_SLP1_II1_PB_AE</v>
      </c>
      <c r="B12" s="4" t="str">
        <f t="shared" si="2"/>
        <v>BXX_SLP1_II1</v>
      </c>
      <c r="C12" s="4" t="str">
        <f>$C$3 &amp; " Alarm Enable"</f>
        <v>SLP1 Current Alarm Enable</v>
      </c>
      <c r="D12" s="2">
        <f t="shared" si="0"/>
        <v>25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BXX_SLP1_II1.PB_AE.RE</v>
      </c>
      <c r="R12" t="s">
        <v>14</v>
      </c>
      <c r="S12" s="4" t="str">
        <f t="shared" si="1"/>
        <v>SLP1 Current Alarm Enable</v>
      </c>
      <c r="T12">
        <v>0</v>
      </c>
      <c r="U12">
        <v>0</v>
      </c>
    </row>
    <row r="13" spans="1:23" x14ac:dyDescent="0.25">
      <c r="A13" s="4" t="str">
        <f>$A$3&amp;"_PB_HI"</f>
        <v>BXX_SLP1_II1_PB_HI</v>
      </c>
      <c r="B13" s="4" t="str">
        <f t="shared" si="2"/>
        <v>BXX_SLP1_II1</v>
      </c>
      <c r="C13" s="4" t="str">
        <f>$C$3 &amp; " High Alarm Enable"</f>
        <v>SLP1 Current High Alarm Enable</v>
      </c>
      <c r="D13" s="2">
        <f t="shared" si="0"/>
        <v>30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BXX_SLP1_II1.PB_HI.RE</v>
      </c>
      <c r="R13" t="s">
        <v>14</v>
      </c>
      <c r="S13" s="4" t="str">
        <f t="shared" si="1"/>
        <v>SLP1 Current High Alarm Enable</v>
      </c>
      <c r="T13">
        <v>0</v>
      </c>
      <c r="U13">
        <v>0</v>
      </c>
    </row>
    <row r="14" spans="1:23" x14ac:dyDescent="0.25">
      <c r="A14" s="4" t="str">
        <f>$A$3&amp;"_PB_LO"</f>
        <v>BXX_SLP1_II1_PB_LO</v>
      </c>
      <c r="B14" s="4" t="str">
        <f t="shared" si="2"/>
        <v>BXX_SLP1_II1</v>
      </c>
      <c r="C14" s="4" t="str">
        <f>$C$3 &amp; " Low Alarm Enable"</f>
        <v>SLP1 Current Low Alarm Enable</v>
      </c>
      <c r="D14" s="2">
        <f t="shared" si="0"/>
        <v>29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BXX_SLP1_II1.PB_LO.RE</v>
      </c>
      <c r="R14" t="s">
        <v>14</v>
      </c>
      <c r="S14" s="4" t="str">
        <f t="shared" si="1"/>
        <v>SLP1 Current Low Alarm Enable</v>
      </c>
      <c r="T14">
        <v>0</v>
      </c>
      <c r="U14">
        <v>0</v>
      </c>
    </row>
    <row r="15" spans="1:23" x14ac:dyDescent="0.25">
      <c r="A15" s="4" t="str">
        <f>$A$3&amp;"_PB_LL"</f>
        <v>BXX_SLP1_II1_PB_LL</v>
      </c>
      <c r="B15" s="4" t="str">
        <f t="shared" si="2"/>
        <v>BXX_SLP1_II1</v>
      </c>
      <c r="C15" s="4" t="str">
        <f>$C$3 &amp; " LOLO Alarm Enable"</f>
        <v>SLP1 Current LOLO Alarm Enable</v>
      </c>
      <c r="D15" s="2">
        <f t="shared" si="0"/>
        <v>30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BXX_SLP1_II1.PB_LL.RE</v>
      </c>
      <c r="R15" t="s">
        <v>14</v>
      </c>
      <c r="S15" s="4" t="str">
        <f t="shared" si="1"/>
        <v>SLP1 Current LOLO Alarm Enable</v>
      </c>
      <c r="T15">
        <v>0</v>
      </c>
      <c r="U15">
        <v>0</v>
      </c>
    </row>
    <row r="16" spans="1:23" x14ac:dyDescent="0.25">
      <c r="A16" s="4" t="str">
        <f>$A$3&amp;"_PB_ER"</f>
        <v>BXX_SLP1_II1_PB_ER</v>
      </c>
      <c r="B16" s="4" t="str">
        <f t="shared" si="2"/>
        <v>BXX_SLP1_II1</v>
      </c>
      <c r="C16" s="4" t="str">
        <f>$C$3 &amp; " Signal Error Alarm En"</f>
        <v>SLP1 Current Signal Error Alarm En</v>
      </c>
      <c r="D16" s="2">
        <f t="shared" si="0"/>
        <v>34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BXX_SLP1_II1.PB_ER.RE</v>
      </c>
      <c r="R16" t="s">
        <v>14</v>
      </c>
      <c r="S16" s="4" t="str">
        <f t="shared" si="1"/>
        <v>SLP1 Current Signal Error Alarm En</v>
      </c>
      <c r="T16">
        <v>0</v>
      </c>
      <c r="U16">
        <v>0</v>
      </c>
    </row>
    <row r="17" spans="1:64" x14ac:dyDescent="0.25">
      <c r="A17" s="4" t="str">
        <f>$A$3&amp;"_PB_SC"</f>
        <v>BXX_SLP1_II1_PB_SC</v>
      </c>
      <c r="B17" s="4" t="str">
        <f t="shared" si="2"/>
        <v>BXX_SLP1_II1</v>
      </c>
      <c r="C17" s="4" t="str">
        <f>$C$3 &amp; " Scan Enable"</f>
        <v>SLP1 Current Scan Enable</v>
      </c>
      <c r="D17" s="2">
        <f t="shared" si="0"/>
        <v>24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BXX_SLP1_II1.PB_SC</v>
      </c>
      <c r="R17" t="s">
        <v>14</v>
      </c>
      <c r="S17" s="4" t="str">
        <f t="shared" si="1"/>
        <v>SLP1 Current Scan Enable</v>
      </c>
      <c r="T17">
        <v>0</v>
      </c>
      <c r="U17">
        <v>0</v>
      </c>
    </row>
    <row r="18" spans="1:64" x14ac:dyDescent="0.25">
      <c r="A18" s="4" t="str">
        <f>$A$3&amp;"_DA_HH"</f>
        <v>BXX_SLP1_II1_DA_HH</v>
      </c>
      <c r="B18" s="4" t="str">
        <f t="shared" si="2"/>
        <v>BXX_SLP1_II1</v>
      </c>
      <c r="C18" s="4" t="str">
        <f>$C$3 &amp; " HIHI Alarm"</f>
        <v>SLP1 Current HIHI Alarm</v>
      </c>
      <c r="D18" s="2">
        <f t="shared" si="0"/>
        <v>23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74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BXX_SLP1_II1.DA_HH</v>
      </c>
      <c r="R18" t="s">
        <v>14</v>
      </c>
      <c r="S18" s="4" t="str">
        <f t="shared" si="1"/>
        <v>SLP1 Current HIHI Alarm</v>
      </c>
      <c r="T18">
        <v>0</v>
      </c>
      <c r="U18">
        <v>0</v>
      </c>
    </row>
    <row r="19" spans="1:64" x14ac:dyDescent="0.25">
      <c r="A19" s="4" t="str">
        <f>$A$3&amp;"_DA_HI"</f>
        <v>BXX_SLP1_II1_DA_HI</v>
      </c>
      <c r="B19" s="4" t="str">
        <f t="shared" si="2"/>
        <v>BXX_SLP1_II1</v>
      </c>
      <c r="C19" s="4" t="str">
        <f>$C$3 &amp; " HI Alarm"</f>
        <v>SLP1 Current HI Alarm</v>
      </c>
      <c r="D19" s="2">
        <f t="shared" si="0"/>
        <v>21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74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BXX_SLP1_II1.DA_HI</v>
      </c>
      <c r="R19" t="s">
        <v>14</v>
      </c>
      <c r="S19" s="4" t="str">
        <f t="shared" si="1"/>
        <v>SLP1 Current HI Alarm</v>
      </c>
      <c r="T19">
        <v>0</v>
      </c>
      <c r="U19">
        <v>0</v>
      </c>
    </row>
    <row r="20" spans="1:64" x14ac:dyDescent="0.25">
      <c r="A20" s="4" t="str">
        <f>$A$3&amp;"_PB_HH"</f>
        <v>BXX_SLP1_II1_PB_HH</v>
      </c>
      <c r="B20" s="4" t="str">
        <f t="shared" si="2"/>
        <v>BXX_SLP1_II1</v>
      </c>
      <c r="C20" s="4" t="str">
        <f>$C$3 &amp; " HIHI Alarm Enable"</f>
        <v>SLP1 Current HIHI Alarm Enable</v>
      </c>
      <c r="D20" s="2">
        <f t="shared" si="0"/>
        <v>30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BXX_SLP1_II1.PB_HH.RE</v>
      </c>
      <c r="R20" t="s">
        <v>14</v>
      </c>
      <c r="S20" s="4" t="str">
        <f t="shared" si="1"/>
        <v>SLP1 Current HIHI Alarm Enable</v>
      </c>
      <c r="T20">
        <v>0</v>
      </c>
      <c r="U20">
        <v>0</v>
      </c>
    </row>
    <row r="21" spans="1:64" x14ac:dyDescent="0.25">
      <c r="A21" s="4" t="str">
        <f>$A$3&amp;"_PB_AR"</f>
        <v>BXX_SLP1_II1_PB_AR</v>
      </c>
      <c r="B21" s="4" t="str">
        <f t="shared" si="2"/>
        <v>BXX_SLP1_II1</v>
      </c>
      <c r="C21" s="4" t="str">
        <f>$C$3 &amp; " Alarm Reset"</f>
        <v>SLP1 Current Alarm Reset</v>
      </c>
      <c r="D21" s="2">
        <f t="shared" si="0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BXX_SLP1_II1.PB_AR</v>
      </c>
      <c r="R21" t="s">
        <v>14</v>
      </c>
      <c r="S21" s="4" t="str">
        <f t="shared" si="1"/>
        <v>SLP1 Current Alarm Reset</v>
      </c>
      <c r="T21">
        <v>0</v>
      </c>
      <c r="U21">
        <v>0</v>
      </c>
    </row>
    <row r="22" spans="1:64" x14ac:dyDescent="0.25">
      <c r="A22" s="4" t="str">
        <f>$A$3&amp;"_DA_LO"</f>
        <v>BXX_SLP1_II1_DA_LO</v>
      </c>
      <c r="B22" s="4" t="str">
        <f t="shared" si="2"/>
        <v>BXX_SLP1_II1</v>
      </c>
      <c r="C22" s="4" t="str">
        <f>$C$3 &amp; " LO Alarm"</f>
        <v>SLP1 Current LO Alarm</v>
      </c>
      <c r="D22" s="2">
        <f t="shared" si="0"/>
        <v>21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74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BXX_SLP1_II1.DA_LO</v>
      </c>
      <c r="R22" t="s">
        <v>14</v>
      </c>
      <c r="S22" s="4" t="str">
        <f t="shared" si="1"/>
        <v>SLP1 Current LO Alarm</v>
      </c>
      <c r="T22">
        <v>0</v>
      </c>
      <c r="U22">
        <v>0</v>
      </c>
    </row>
    <row r="23" spans="1:64" x14ac:dyDescent="0.25">
      <c r="A23" s="4" t="str">
        <f>$A$3&amp;"_PB_LL_DE"</f>
        <v>BXX_SLP1_II1_PB_LL_DE</v>
      </c>
      <c r="B23" s="4" t="str">
        <f t="shared" si="2"/>
        <v>BXX_SLP1_II1</v>
      </c>
      <c r="C23" s="4" t="str">
        <f>$C$3 &amp; " LOLO Alarm Dialer Enable"</f>
        <v>SLP1 Current LOLO Alarm Dialer Enable</v>
      </c>
      <c r="D23" s="2">
        <f t="shared" si="0"/>
        <v>37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BXX_SLP1_II1.PB_LL.DE</v>
      </c>
      <c r="R23" t="s">
        <v>14</v>
      </c>
      <c r="S23" s="4" t="str">
        <f t="shared" si="1"/>
        <v>SLP1 Current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BXX_SLP1_II1_PB_ER_DE</v>
      </c>
      <c r="B24" s="4" t="str">
        <f t="shared" si="2"/>
        <v>BXX_SLP1_II1</v>
      </c>
      <c r="C24" s="4" t="str">
        <f>$C$3 &amp; " Signal Error Alarm Dialer En"</f>
        <v>SLP1 Current Signal Error Alarm Dialer En</v>
      </c>
      <c r="D24" s="2">
        <f t="shared" si="0"/>
        <v>41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BXX_SLP1_II1.PB_ER.DE</v>
      </c>
      <c r="R24" t="s">
        <v>14</v>
      </c>
      <c r="S24" s="4" t="str">
        <f t="shared" si="1"/>
        <v>SLP1 Current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BXX_SLP1_II1_PB_HH_DE</v>
      </c>
      <c r="B25" s="4" t="str">
        <f t="shared" si="2"/>
        <v>BXX_SLP1_II1</v>
      </c>
      <c r="C25" s="4" t="str">
        <f>$C$3 &amp; " HIHI Alarm Dialer Enable"</f>
        <v>SLP1 Current HIHI Alarm Dialer Enable</v>
      </c>
      <c r="D25" s="2">
        <f t="shared" si="0"/>
        <v>37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BXX_SLP1_II1.PB_HH.DE</v>
      </c>
      <c r="R25" t="s">
        <v>14</v>
      </c>
      <c r="S25" s="4" t="str">
        <f t="shared" si="1"/>
        <v>SLP1 Current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BXX_SLP1_II1_PB_LL_SR</v>
      </c>
      <c r="B26" s="4" t="str">
        <f t="shared" si="2"/>
        <v>BXX_SLP1_II1</v>
      </c>
      <c r="C26" s="4" t="str">
        <f>$C$3 &amp; " LOLO Alarm Sup Enable"</f>
        <v>SLP1 Current LOLO Alarm Sup Enable</v>
      </c>
      <c r="D26" s="2">
        <f t="shared" si="0"/>
        <v>34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BXX_SLP1_II1.PB_LL.SR</v>
      </c>
      <c r="R26" t="s">
        <v>14</v>
      </c>
      <c r="S26" s="4" t="str">
        <f t="shared" si="1"/>
        <v>SLP1 Current LOLO Alarm Sup Enable</v>
      </c>
      <c r="T26">
        <v>0</v>
      </c>
      <c r="U26">
        <v>0</v>
      </c>
    </row>
    <row r="27" spans="1:64" x14ac:dyDescent="0.25">
      <c r="A27" s="4" t="str">
        <f>$A$3&amp;"_PB_ER_SR"</f>
        <v>BXX_SLP1_II1_PB_ER_SR</v>
      </c>
      <c r="B27" s="4" t="str">
        <f t="shared" si="2"/>
        <v>BXX_SLP1_II1</v>
      </c>
      <c r="C27" s="4" t="str">
        <f>$C$3 &amp; " Signal Error Alarm Sup En"</f>
        <v>SLP1 Current Signal Error Alarm Sup En</v>
      </c>
      <c r="D27" s="2">
        <f t="shared" si="0"/>
        <v>38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BXX_SLP1_II1.PB_ER.SR</v>
      </c>
      <c r="R27" t="s">
        <v>14</v>
      </c>
      <c r="S27" s="4" t="str">
        <f t="shared" si="1"/>
        <v>SLP1 Current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BXX_SLP1_II1_PB_HH_SR</v>
      </c>
      <c r="B28" s="4" t="str">
        <f t="shared" si="2"/>
        <v>BXX_SLP1_II1</v>
      </c>
      <c r="C28" s="4" t="str">
        <f>$C$3 &amp; " HIHI Alarm Sup Enable"</f>
        <v>SLP1 Current HIHI Alarm Sup Enable</v>
      </c>
      <c r="D28" s="2">
        <f t="shared" si="0"/>
        <v>34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BXX_SLP1_II1.PB_HH.SR</v>
      </c>
      <c r="R28" t="s">
        <v>14</v>
      </c>
      <c r="S28" s="4" t="str">
        <f t="shared" si="1"/>
        <v>SLP1 Current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BXX_SLP1_II1_AI_VI</v>
      </c>
      <c r="B30" s="4" t="str">
        <f t="shared" ref="B30:B31" si="4">$A$3</f>
        <v>BXX_SLP1_II1</v>
      </c>
      <c r="C30" s="4" t="str">
        <f>$C$3 &amp; " Number of Visible Eng Values"</f>
        <v>SLP1 Current Number of Visible Eng Values</v>
      </c>
      <c r="D30" s="2">
        <f t="shared" ref="D30:D31" si="5">LEN(C30)</f>
        <v>41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BXX_SLP1_II1.AI_VI</v>
      </c>
      <c r="AU30" t="s">
        <v>14</v>
      </c>
      <c r="AV30" s="4" t="str">
        <f>C30</f>
        <v>SLP1 Current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BXX_SLP1_II1_AI_DC</v>
      </c>
      <c r="B31" s="4" t="str">
        <f t="shared" si="4"/>
        <v>BXX_SLP1_II1</v>
      </c>
      <c r="C31" s="4" t="str">
        <f>$C$3 &amp; " Precision"</f>
        <v>SLP1 Current Precision</v>
      </c>
      <c r="D31" s="2">
        <f t="shared" si="5"/>
        <v>22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BXX_SLP1_II1.AI_DC</v>
      </c>
      <c r="AU31" t="s">
        <v>14</v>
      </c>
      <c r="AV31" s="4" t="str">
        <f t="shared" ref="AV31" si="9">C31</f>
        <v>SLP1 Current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BXX_SLP1_II1_SN_LL</v>
      </c>
      <c r="B33" s="4" t="str">
        <f t="shared" ref="B33:C46" si="10">$A$3</f>
        <v>BXX_SLP1_II1</v>
      </c>
      <c r="C33" s="4" t="str">
        <f>$C$3 &amp; " LOLO Alarm Delay"</f>
        <v>SLP1 Current LOLO Alarm Delay</v>
      </c>
      <c r="D33" s="2">
        <f t="shared" ref="D33:D88" si="11">LEN(C33)</f>
        <v>29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BXX_SLP1_II1.SN_LL</v>
      </c>
      <c r="AU33" t="s">
        <v>14</v>
      </c>
      <c r="AV33" s="4" t="str">
        <f>C33</f>
        <v>SLP1 Current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BXX_SLP1_II1_SN_HI</v>
      </c>
      <c r="B34" s="4" t="str">
        <f t="shared" si="10"/>
        <v>BXX_SLP1_II1</v>
      </c>
      <c r="C34" s="4" t="str">
        <f>$C$3 &amp; " High Alarm Delay"</f>
        <v>SLP1 Current High Alarm Delay</v>
      </c>
      <c r="D34" s="2">
        <f t="shared" si="11"/>
        <v>29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$A$3&amp;".SN_HI"</f>
        <v>BXX_SLP1_II1.SN_HI</v>
      </c>
      <c r="AU34" t="s">
        <v>14</v>
      </c>
      <c r="AV34" s="4" t="str">
        <f t="shared" ref="AV34:AV44" si="15">C34</f>
        <v>SLP1 Current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BXX_SLP1_II1_AI_CV</v>
      </c>
      <c r="B35" s="4" t="str">
        <f t="shared" si="10"/>
        <v>BXX_SLP1_II1</v>
      </c>
      <c r="C35" s="4" t="str">
        <f>$C$3 &amp; " Current Value"</f>
        <v>SLP1 Current Current Value</v>
      </c>
      <c r="D35" s="2">
        <f t="shared" si="11"/>
        <v>26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172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BXX_SLP1_II1.AI_CV</v>
      </c>
      <c r="AU35" t="s">
        <v>14</v>
      </c>
      <c r="AV35" s="4" t="str">
        <f t="shared" si="15"/>
        <v>SLP1 Current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BXX_SLP1_II1_AO_XM</v>
      </c>
      <c r="B36" s="4" t="str">
        <f t="shared" si="10"/>
        <v>BXX_SLP1_II1</v>
      </c>
      <c r="C36" s="4" t="str">
        <f>$C$3 &amp; " Span Setpoint"</f>
        <v>SLP1 Current Span Setpoint</v>
      </c>
      <c r="D36" s="2">
        <f t="shared" si="11"/>
        <v>26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A</v>
      </c>
      <c r="M36" s="4">
        <f t="shared" si="12"/>
        <v>0</v>
      </c>
      <c r="N36" s="4">
        <f t="shared" ref="N36:N41" si="17">$N$35</f>
        <v>0</v>
      </c>
      <c r="O36" s="4">
        <f t="shared" ref="O36:O41" si="18">$O$35</f>
        <v>150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150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BXX_SLP1_II1.AO_XM</v>
      </c>
      <c r="AU36" t="s">
        <v>14</v>
      </c>
      <c r="AV36" s="4" t="str">
        <f t="shared" si="15"/>
        <v>SLP1 Current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BXX_SLP1_II1_AO_LO</v>
      </c>
      <c r="B37" s="4" t="str">
        <f t="shared" si="10"/>
        <v>BXX_SLP1_II1</v>
      </c>
      <c r="C37" s="4" t="str">
        <f>$C$3 &amp; " Low Setpoint"</f>
        <v>SLP1 Current Low Setpoint</v>
      </c>
      <c r="D37" s="2">
        <f t="shared" si="11"/>
        <v>25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A</v>
      </c>
      <c r="M37" s="4">
        <f t="shared" si="12"/>
        <v>0</v>
      </c>
      <c r="N37" s="4">
        <f t="shared" si="17"/>
        <v>0</v>
      </c>
      <c r="O37" s="4">
        <f t="shared" si="18"/>
        <v>150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150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BXX_SLP1_II1.AO_LO</v>
      </c>
      <c r="AU37" t="s">
        <v>14</v>
      </c>
      <c r="AV37" s="4" t="str">
        <f t="shared" si="15"/>
        <v>SLP1 Current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BXX_SLP1_II1_AO_HH</v>
      </c>
      <c r="B38" s="4" t="str">
        <f t="shared" si="10"/>
        <v>BXX_SLP1_II1</v>
      </c>
      <c r="C38" s="4" t="str">
        <f>$C$3 &amp; " HIHI Setpoint"</f>
        <v>SLP1 Current HIHI Setpoint</v>
      </c>
      <c r="D38" s="2">
        <f t="shared" si="11"/>
        <v>26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A</v>
      </c>
      <c r="M38" s="4">
        <f t="shared" si="12"/>
        <v>0</v>
      </c>
      <c r="N38" s="4">
        <f t="shared" si="17"/>
        <v>0</v>
      </c>
      <c r="O38" s="4">
        <f t="shared" si="18"/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BXX_SLP1_II1.AO_HH</v>
      </c>
      <c r="AU38" t="s">
        <v>14</v>
      </c>
      <c r="AV38" s="4" t="str">
        <f t="shared" si="15"/>
        <v>SLP1 Current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BXX_SLP1_II1_AO_HI</v>
      </c>
      <c r="B39" s="4" t="str">
        <f t="shared" si="10"/>
        <v>BXX_SLP1_II1</v>
      </c>
      <c r="C39" s="4" t="str">
        <f>$C$3 &amp; " High Setpoint"</f>
        <v>SLP1 Current High Setpoint</v>
      </c>
      <c r="D39" s="2">
        <f t="shared" si="11"/>
        <v>26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A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BXX_SLP1_II1.AO_HI</v>
      </c>
      <c r="AU39" t="s">
        <v>14</v>
      </c>
      <c r="AV39" s="4" t="str">
        <f t="shared" si="15"/>
        <v>SLP1 Current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BXX_SLP1_II1_AO_SV</v>
      </c>
      <c r="B40" s="4" t="str">
        <f t="shared" si="10"/>
        <v>BXX_SLP1_II1</v>
      </c>
      <c r="C40" s="4" t="str">
        <f>$C$3 &amp; " Override Value"</f>
        <v>SLP1 Current Override Value</v>
      </c>
      <c r="D40" s="2">
        <f t="shared" si="11"/>
        <v>27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A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BXX_SLP1_II1.AO_SV</v>
      </c>
      <c r="AU40" t="s">
        <v>14</v>
      </c>
      <c r="AV40" s="4" t="str">
        <f t="shared" si="15"/>
        <v>SLP1 Current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BXX_SLP1_II1_AO_EM</v>
      </c>
      <c r="B41" s="4" t="str">
        <f t="shared" si="10"/>
        <v>BXX_SLP1_II1</v>
      </c>
      <c r="C41" s="4" t="str">
        <f>$C$3 &amp; " Zero Setpoint"</f>
        <v>SLP1 Current Zero Setpoint</v>
      </c>
      <c r="D41" s="2">
        <f t="shared" si="11"/>
        <v>26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A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BXX_SLP1_II1.AO_EM</v>
      </c>
      <c r="AU41" t="s">
        <v>14</v>
      </c>
      <c r="AV41" s="4" t="str">
        <f t="shared" si="15"/>
        <v>SLP1 Current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BXX_SLP1_II1_SN_HH</v>
      </c>
      <c r="B42" s="4" t="str">
        <f t="shared" si="10"/>
        <v>BXX_SLP1_II1</v>
      </c>
      <c r="C42" s="4" t="str">
        <f>$C$3 &amp; " HIHI Alarm Delay"</f>
        <v>SLP1 Current HIHI Alarm Delay</v>
      </c>
      <c r="D42" s="2">
        <f t="shared" si="11"/>
        <v>29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$A$3&amp;".SN_HH"</f>
        <v>BXX_SLP1_II1.SN_HH</v>
      </c>
      <c r="AU42" t="s">
        <v>14</v>
      </c>
      <c r="AV42" s="4" t="str">
        <f t="shared" si="15"/>
        <v>SLP1 Current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BXX_SLP1_II1_SN_LO</v>
      </c>
      <c r="B43" s="4" t="str">
        <f t="shared" si="10"/>
        <v>BXX_SLP1_II1</v>
      </c>
      <c r="C43" s="4" t="str">
        <f>$C$3 &amp; " Low Alarm Delay"</f>
        <v>SLP1 Current Low Alarm Delay</v>
      </c>
      <c r="D43" s="2">
        <f t="shared" si="11"/>
        <v>28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$A$3&amp;".SN_LO"</f>
        <v>BXX_SLP1_II1.SN_LO</v>
      </c>
      <c r="AU43" t="s">
        <v>14</v>
      </c>
      <c r="AV43" s="4" t="str">
        <f t="shared" si="15"/>
        <v>SLP1 Current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BXX_SLP1_II1_AO_LL</v>
      </c>
      <c r="B44" s="4" t="str">
        <f t="shared" si="10"/>
        <v>BXX_SLP1_II1</v>
      </c>
      <c r="C44" s="4" t="str">
        <f>$C$3 &amp; " LOLO Setpoint"</f>
        <v>SLP1 Current LOLO Setpoint</v>
      </c>
      <c r="D44" s="2">
        <f t="shared" si="11"/>
        <v>26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A</v>
      </c>
      <c r="M44" s="4">
        <f t="shared" si="12"/>
        <v>0</v>
      </c>
      <c r="N44" s="4">
        <f t="shared" ref="N44" si="20">$N$35</f>
        <v>0</v>
      </c>
      <c r="O44" s="4">
        <f t="shared" ref="O44" si="21">$O$35</f>
        <v>150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150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BXX_SLP1_II1.AO_LL</v>
      </c>
      <c r="AU44" t="s">
        <v>14</v>
      </c>
      <c r="AV44" s="4" t="str">
        <f t="shared" si="15"/>
        <v>SLP1 Current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BXX_SLP1_II1_DI_NM</v>
      </c>
      <c r="B46" s="4" t="str">
        <f t="shared" si="10"/>
        <v>BXX_SLP1_II1</v>
      </c>
      <c r="C46" s="4" t="str">
        <f t="shared" si="10"/>
        <v>BXX_SLP1_II1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t="s">
        <v>116</v>
      </c>
      <c r="K46" t="s">
        <v>116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BXX_SLP1_II1_PB_HH_RN</v>
      </c>
      <c r="B50" s="4" t="str">
        <f>$A$3</f>
        <v>BXX_SLP1_II1</v>
      </c>
      <c r="C50" s="4" t="str">
        <f>$C$3 &amp; " HIHI Alarm Disabled Reason"</f>
        <v>SLP1 Current HIHI Alarm Disabled Reason</v>
      </c>
      <c r="D50" s="2">
        <f t="shared" si="11"/>
        <v>39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BXX_SLP1_II1_PB_HH_RN</v>
      </c>
      <c r="N50" t="s">
        <v>14</v>
      </c>
      <c r="O50" s="4" t="str">
        <f>C50</f>
        <v>SLP1 Current HIHI Alarm Disabled Reason</v>
      </c>
    </row>
    <row r="51" spans="1:16" x14ac:dyDescent="0.25">
      <c r="A51" s="4" t="str">
        <f>$A$3&amp;"_PB_LL_RN"</f>
        <v>BXX_SLP1_II1_PB_LL_RN</v>
      </c>
      <c r="B51" s="4" t="str">
        <f t="shared" ref="B51:B52" si="22">$A$3</f>
        <v>BXX_SLP1_II1</v>
      </c>
      <c r="C51" s="4" t="str">
        <f>$C$3 &amp; " LOLO Alarm Disabled Reason"</f>
        <v>SLP1 Current LOLO Alarm Disabled Reason</v>
      </c>
      <c r="D51" s="2">
        <f t="shared" si="11"/>
        <v>39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3">A51</f>
        <v>BXX_SLP1_II1_PB_LL_RN</v>
      </c>
      <c r="N51" t="s">
        <v>14</v>
      </c>
      <c r="O51" s="4" t="str">
        <f t="shared" ref="O51:O52" si="24">C51</f>
        <v>SLP1 Current LOLO Alarm Disabled Reason</v>
      </c>
    </row>
    <row r="52" spans="1:16" x14ac:dyDescent="0.25">
      <c r="A52" s="4" t="str">
        <f>$A$3&amp;"_PB_ER_RN"</f>
        <v>BXX_SLP1_II1_PB_ER_RN</v>
      </c>
      <c r="B52" s="4" t="str">
        <f t="shared" si="22"/>
        <v>BXX_SLP1_II1</v>
      </c>
      <c r="C52" s="4" t="str">
        <f>$C$3 &amp; " Sig Error Alarm Dis Reason"</f>
        <v>SLP1 Current Sig Error Alarm Dis Reason</v>
      </c>
      <c r="D52" s="2">
        <f t="shared" si="11"/>
        <v>39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3"/>
        <v>BXX_SLP1_II1_PB_ER_RN</v>
      </c>
      <c r="N52" t="s">
        <v>14</v>
      </c>
      <c r="O52" s="4" t="str">
        <f t="shared" si="24"/>
        <v>SLP1 Current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487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561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559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6:D27 D33:D44 D51:D88">
    <cfRule type="cellIs" dxfId="178" priority="4" operator="greaterThan">
      <formula>49</formula>
    </cfRule>
  </conditionalFormatting>
  <conditionalFormatting sqref="D30:D31">
    <cfRule type="cellIs" dxfId="177" priority="3" operator="greaterThan">
      <formula>49</formula>
    </cfRule>
  </conditionalFormatting>
  <conditionalFormatting sqref="D46:D50">
    <cfRule type="cellIs" dxfId="176" priority="2" operator="greaterThan">
      <formula>49</formula>
    </cfRule>
  </conditionalFormatting>
  <conditionalFormatting sqref="D28">
    <cfRule type="cellIs" dxfId="175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E32" zoomScaleNormal="100" zoomScaleSheetLayoutView="100" workbookViewId="0">
      <selection activeCell="K50" sqref="K50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432</v>
      </c>
      <c r="B3" s="4" t="str">
        <f>BXXPLC1!A5</f>
        <v>BXX</v>
      </c>
      <c r="C3" s="3" t="s">
        <v>171</v>
      </c>
      <c r="D3" s="2">
        <f>LEN(C3)</f>
        <v>12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BXX_SLP2_II1_DI_AD</v>
      </c>
      <c r="B6" s="4" t="str">
        <f>$A$4</f>
        <v>BXX_DSAB</v>
      </c>
      <c r="C6" s="4" t="str">
        <f>$C$3 &amp; " Disabled Analog Alarm"</f>
        <v>SLP1 Current Disabled Analog Alarm</v>
      </c>
      <c r="D6" s="2">
        <f>LEN(C6)</f>
        <v>34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BXX_SLP2_II1.DI_AD</v>
      </c>
      <c r="R6" t="s">
        <v>14</v>
      </c>
      <c r="S6" s="4" t="str">
        <f>C6</f>
        <v>SLP1 Current Disabled Analog Alarm</v>
      </c>
      <c r="T6">
        <v>0</v>
      </c>
      <c r="U6">
        <v>0</v>
      </c>
    </row>
    <row r="7" spans="1:23" x14ac:dyDescent="0.25">
      <c r="A7" s="4" t="str">
        <f>$A$3&amp;"_DI_SC"</f>
        <v>BXX_SLP2_II1_DI_SC</v>
      </c>
      <c r="B7" s="4" t="str">
        <f>$A$3</f>
        <v>BXX_SLP2_II1</v>
      </c>
      <c r="C7" s="4" t="str">
        <f>$C$3 &amp; " Scan Status"</f>
        <v>SLP1 Current Scan Status</v>
      </c>
      <c r="D7" s="2">
        <f t="shared" ref="D7:D28" si="0">LEN(C7)</f>
        <v>24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BXX_SLP2_II1.DI_SC</v>
      </c>
      <c r="R7" t="s">
        <v>14</v>
      </c>
      <c r="S7" s="4" t="str">
        <f t="shared" ref="S7:S28" si="1">C7</f>
        <v>SLP1 Current Scan Status</v>
      </c>
      <c r="T7">
        <v>0</v>
      </c>
      <c r="U7">
        <v>0</v>
      </c>
    </row>
    <row r="8" spans="1:23" x14ac:dyDescent="0.25">
      <c r="A8" s="4" t="str">
        <f>$A$3&amp;"_DA_LL"</f>
        <v>BXX_SLP2_II1_DA_LL</v>
      </c>
      <c r="B8" s="4" t="str">
        <f t="shared" ref="B8:B28" si="2">$A$3</f>
        <v>BXX_SLP2_II1</v>
      </c>
      <c r="C8" s="4" t="str">
        <f>$C$3 &amp; " LOLO Alarm"</f>
        <v>SLP1 Current LOLO Alarm</v>
      </c>
      <c r="D8" s="2">
        <f t="shared" si="0"/>
        <v>23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74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BXX_SLP2_II1.DA_LL</v>
      </c>
      <c r="R8" t="s">
        <v>14</v>
      </c>
      <c r="S8" s="4" t="str">
        <f t="shared" si="1"/>
        <v>SLP1 Current LOLO Alarm</v>
      </c>
      <c r="T8">
        <v>0</v>
      </c>
      <c r="U8">
        <v>0</v>
      </c>
    </row>
    <row r="9" spans="1:23" x14ac:dyDescent="0.25">
      <c r="A9" s="4" t="str">
        <f>$A$3&amp;"_DA_ER"</f>
        <v>BXX_SLP2_II1_DA_ER</v>
      </c>
      <c r="B9" s="4" t="str">
        <f t="shared" si="2"/>
        <v>BXX_SLP2_II1</v>
      </c>
      <c r="C9" s="4" t="str">
        <f>$C$3 &amp; " Signal Error Alarm"</f>
        <v>SLP1 Current Signal Error Alarm</v>
      </c>
      <c r="D9" s="2">
        <f t="shared" si="0"/>
        <v>31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BXX_SLP2_II1.DA_ER</v>
      </c>
      <c r="R9" t="s">
        <v>14</v>
      </c>
      <c r="S9" s="4" t="str">
        <f t="shared" si="1"/>
        <v>SLP1 Current Signal Error Alarm</v>
      </c>
      <c r="T9">
        <v>0</v>
      </c>
      <c r="U9">
        <v>0</v>
      </c>
    </row>
    <row r="10" spans="1:23" x14ac:dyDescent="0.25">
      <c r="A10" s="4" t="str">
        <f>$A$3&amp;"_PB_SM"</f>
        <v>BXX_SLP2_II1_PB_SM</v>
      </c>
      <c r="B10" s="4" t="str">
        <f t="shared" si="2"/>
        <v>BXX_SLP2_II1</v>
      </c>
      <c r="C10" s="4" t="str">
        <f>$C$3 &amp; " Alarm Test"</f>
        <v>SLP1 Current Alarm Test</v>
      </c>
      <c r="D10" s="2">
        <f t="shared" si="0"/>
        <v>23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BXX_SLP2_II1.PB_SM</v>
      </c>
      <c r="R10" t="s">
        <v>14</v>
      </c>
      <c r="S10" s="4" t="str">
        <f t="shared" si="1"/>
        <v>SLP1 Current Alarm Test</v>
      </c>
      <c r="T10">
        <v>0</v>
      </c>
      <c r="U10">
        <v>0</v>
      </c>
    </row>
    <row r="11" spans="1:23" x14ac:dyDescent="0.25">
      <c r="A11" s="4" t="str">
        <f>$A$3&amp;"_PB_SV"</f>
        <v>BXX_SLP2_II1_PB_SV</v>
      </c>
      <c r="B11" s="4" t="str">
        <f t="shared" si="2"/>
        <v>BXX_SLP2_II1</v>
      </c>
      <c r="C11" s="4" t="str">
        <f>$C$3 &amp; " Override Enable"</f>
        <v>SLP1 Current Override Enable</v>
      </c>
      <c r="D11" s="2">
        <f t="shared" si="0"/>
        <v>28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BXX_SLP2_II1.PB_SV</v>
      </c>
      <c r="R11" t="s">
        <v>14</v>
      </c>
      <c r="S11" s="4" t="str">
        <f t="shared" si="1"/>
        <v>SLP1 Current Override Enable</v>
      </c>
      <c r="T11">
        <v>0</v>
      </c>
      <c r="U11">
        <v>0</v>
      </c>
    </row>
    <row r="12" spans="1:23" x14ac:dyDescent="0.25">
      <c r="A12" s="4" t="str">
        <f>$A$3&amp;"_PB_AE"</f>
        <v>BXX_SLP2_II1_PB_AE</v>
      </c>
      <c r="B12" s="4" t="str">
        <f t="shared" si="2"/>
        <v>BXX_SLP2_II1</v>
      </c>
      <c r="C12" s="4" t="str">
        <f>$C$3 &amp; " Alarm Enable"</f>
        <v>SLP1 Current Alarm Enable</v>
      </c>
      <c r="D12" s="2">
        <f t="shared" si="0"/>
        <v>25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BXX_SLP2_II1.PB_AE.RE</v>
      </c>
      <c r="R12" t="s">
        <v>14</v>
      </c>
      <c r="S12" s="4" t="str">
        <f t="shared" si="1"/>
        <v>SLP1 Current Alarm Enable</v>
      </c>
      <c r="T12">
        <v>0</v>
      </c>
      <c r="U12">
        <v>0</v>
      </c>
    </row>
    <row r="13" spans="1:23" x14ac:dyDescent="0.25">
      <c r="A13" s="4" t="str">
        <f>$A$3&amp;"_PB_HI"</f>
        <v>BXX_SLP2_II1_PB_HI</v>
      </c>
      <c r="B13" s="4" t="str">
        <f t="shared" si="2"/>
        <v>BXX_SLP2_II1</v>
      </c>
      <c r="C13" s="4" t="str">
        <f>$C$3 &amp; " High Alarm Enable"</f>
        <v>SLP1 Current High Alarm Enable</v>
      </c>
      <c r="D13" s="2">
        <f t="shared" si="0"/>
        <v>30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BXX_SLP2_II1.PB_HI.RE</v>
      </c>
      <c r="R13" t="s">
        <v>14</v>
      </c>
      <c r="S13" s="4" t="str">
        <f t="shared" si="1"/>
        <v>SLP1 Current High Alarm Enable</v>
      </c>
      <c r="T13">
        <v>0</v>
      </c>
      <c r="U13">
        <v>0</v>
      </c>
    </row>
    <row r="14" spans="1:23" x14ac:dyDescent="0.25">
      <c r="A14" s="4" t="str">
        <f>$A$3&amp;"_PB_LO"</f>
        <v>BXX_SLP2_II1_PB_LO</v>
      </c>
      <c r="B14" s="4" t="str">
        <f t="shared" si="2"/>
        <v>BXX_SLP2_II1</v>
      </c>
      <c r="C14" s="4" t="str">
        <f>$C$3 &amp; " Low Alarm Enable"</f>
        <v>SLP1 Current Low Alarm Enable</v>
      </c>
      <c r="D14" s="2">
        <f t="shared" si="0"/>
        <v>29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BXX_SLP2_II1.PB_LO.RE</v>
      </c>
      <c r="R14" t="s">
        <v>14</v>
      </c>
      <c r="S14" s="4" t="str">
        <f t="shared" si="1"/>
        <v>SLP1 Current Low Alarm Enable</v>
      </c>
      <c r="T14">
        <v>0</v>
      </c>
      <c r="U14">
        <v>0</v>
      </c>
    </row>
    <row r="15" spans="1:23" x14ac:dyDescent="0.25">
      <c r="A15" s="4" t="str">
        <f>$A$3&amp;"_PB_LL"</f>
        <v>BXX_SLP2_II1_PB_LL</v>
      </c>
      <c r="B15" s="4" t="str">
        <f t="shared" si="2"/>
        <v>BXX_SLP2_II1</v>
      </c>
      <c r="C15" s="4" t="str">
        <f>$C$3 &amp; " LOLO Alarm Enable"</f>
        <v>SLP1 Current LOLO Alarm Enable</v>
      </c>
      <c r="D15" s="2">
        <f t="shared" si="0"/>
        <v>30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BXX_SLP2_II1.PB_LL.RE</v>
      </c>
      <c r="R15" t="s">
        <v>14</v>
      </c>
      <c r="S15" s="4" t="str">
        <f t="shared" si="1"/>
        <v>SLP1 Current LOLO Alarm Enable</v>
      </c>
      <c r="T15">
        <v>0</v>
      </c>
      <c r="U15">
        <v>0</v>
      </c>
    </row>
    <row r="16" spans="1:23" x14ac:dyDescent="0.25">
      <c r="A16" s="4" t="str">
        <f>$A$3&amp;"_PB_ER"</f>
        <v>BXX_SLP2_II1_PB_ER</v>
      </c>
      <c r="B16" s="4" t="str">
        <f t="shared" si="2"/>
        <v>BXX_SLP2_II1</v>
      </c>
      <c r="C16" s="4" t="str">
        <f>$C$3 &amp; " Signal Error Alarm En"</f>
        <v>SLP1 Current Signal Error Alarm En</v>
      </c>
      <c r="D16" s="2">
        <f t="shared" si="0"/>
        <v>34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BXX_SLP2_II1.PB_ER.RE</v>
      </c>
      <c r="R16" t="s">
        <v>14</v>
      </c>
      <c r="S16" s="4" t="str">
        <f t="shared" si="1"/>
        <v>SLP1 Current Signal Error Alarm En</v>
      </c>
      <c r="T16">
        <v>0</v>
      </c>
      <c r="U16">
        <v>0</v>
      </c>
    </row>
    <row r="17" spans="1:64" x14ac:dyDescent="0.25">
      <c r="A17" s="4" t="str">
        <f>$A$3&amp;"_PB_SC"</f>
        <v>BXX_SLP2_II1_PB_SC</v>
      </c>
      <c r="B17" s="4" t="str">
        <f t="shared" si="2"/>
        <v>BXX_SLP2_II1</v>
      </c>
      <c r="C17" s="4" t="str">
        <f>$C$3 &amp; " Scan Enable"</f>
        <v>SLP1 Current Scan Enable</v>
      </c>
      <c r="D17" s="2">
        <f t="shared" si="0"/>
        <v>24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BXX_SLP2_II1.PB_SC</v>
      </c>
      <c r="R17" t="s">
        <v>14</v>
      </c>
      <c r="S17" s="4" t="str">
        <f t="shared" si="1"/>
        <v>SLP1 Current Scan Enable</v>
      </c>
      <c r="T17">
        <v>0</v>
      </c>
      <c r="U17">
        <v>0</v>
      </c>
    </row>
    <row r="18" spans="1:64" x14ac:dyDescent="0.25">
      <c r="A18" s="4" t="str">
        <f>$A$3&amp;"_DA_HH"</f>
        <v>BXX_SLP2_II1_DA_HH</v>
      </c>
      <c r="B18" s="4" t="str">
        <f t="shared" si="2"/>
        <v>BXX_SLP2_II1</v>
      </c>
      <c r="C18" s="4" t="str">
        <f>$C$3 &amp; " HIHI Alarm"</f>
        <v>SLP1 Current HIHI Alarm</v>
      </c>
      <c r="D18" s="2">
        <f t="shared" si="0"/>
        <v>23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74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BXX_SLP2_II1.DA_HH</v>
      </c>
      <c r="R18" t="s">
        <v>14</v>
      </c>
      <c r="S18" s="4" t="str">
        <f t="shared" si="1"/>
        <v>SLP1 Current HIHI Alarm</v>
      </c>
      <c r="T18">
        <v>0</v>
      </c>
      <c r="U18">
        <v>0</v>
      </c>
    </row>
    <row r="19" spans="1:64" x14ac:dyDescent="0.25">
      <c r="A19" s="4" t="str">
        <f>$A$3&amp;"_DA_HI"</f>
        <v>BXX_SLP2_II1_DA_HI</v>
      </c>
      <c r="B19" s="4" t="str">
        <f t="shared" si="2"/>
        <v>BXX_SLP2_II1</v>
      </c>
      <c r="C19" s="4" t="str">
        <f>$C$3 &amp; " HI Alarm"</f>
        <v>SLP1 Current HI Alarm</v>
      </c>
      <c r="D19" s="2">
        <f t="shared" si="0"/>
        <v>21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74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BXX_SLP2_II1.DA_HI</v>
      </c>
      <c r="R19" t="s">
        <v>14</v>
      </c>
      <c r="S19" s="4" t="str">
        <f t="shared" si="1"/>
        <v>SLP1 Current HI Alarm</v>
      </c>
      <c r="T19">
        <v>0</v>
      </c>
      <c r="U19">
        <v>0</v>
      </c>
    </row>
    <row r="20" spans="1:64" x14ac:dyDescent="0.25">
      <c r="A20" s="4" t="str">
        <f>$A$3&amp;"_PB_HH"</f>
        <v>BXX_SLP2_II1_PB_HH</v>
      </c>
      <c r="B20" s="4" t="str">
        <f t="shared" si="2"/>
        <v>BXX_SLP2_II1</v>
      </c>
      <c r="C20" s="4" t="str">
        <f>$C$3 &amp; " HIHI Alarm Enable"</f>
        <v>SLP1 Current HIHI Alarm Enable</v>
      </c>
      <c r="D20" s="2">
        <f t="shared" si="0"/>
        <v>30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BXX_SLP2_II1.PB_HH.RE</v>
      </c>
      <c r="R20" t="s">
        <v>14</v>
      </c>
      <c r="S20" s="4" t="str">
        <f t="shared" si="1"/>
        <v>SLP1 Current HIHI Alarm Enable</v>
      </c>
      <c r="T20">
        <v>0</v>
      </c>
      <c r="U20">
        <v>0</v>
      </c>
    </row>
    <row r="21" spans="1:64" x14ac:dyDescent="0.25">
      <c r="A21" s="4" t="str">
        <f>$A$3&amp;"_PB_AR"</f>
        <v>BXX_SLP2_II1_PB_AR</v>
      </c>
      <c r="B21" s="4" t="str">
        <f t="shared" si="2"/>
        <v>BXX_SLP2_II1</v>
      </c>
      <c r="C21" s="4" t="str">
        <f>$C$3 &amp; " Alarm Reset"</f>
        <v>SLP1 Current Alarm Reset</v>
      </c>
      <c r="D21" s="2">
        <f t="shared" si="0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BXX_SLP2_II1.PB_AR</v>
      </c>
      <c r="R21" t="s">
        <v>14</v>
      </c>
      <c r="S21" s="4" t="str">
        <f t="shared" si="1"/>
        <v>SLP1 Current Alarm Reset</v>
      </c>
      <c r="T21">
        <v>0</v>
      </c>
      <c r="U21">
        <v>0</v>
      </c>
    </row>
    <row r="22" spans="1:64" x14ac:dyDescent="0.25">
      <c r="A22" s="4" t="str">
        <f>$A$3&amp;"_DA_LO"</f>
        <v>BXX_SLP2_II1_DA_LO</v>
      </c>
      <c r="B22" s="4" t="str">
        <f t="shared" si="2"/>
        <v>BXX_SLP2_II1</v>
      </c>
      <c r="C22" s="4" t="str">
        <f>$C$3 &amp; " LO Alarm"</f>
        <v>SLP1 Current LO Alarm</v>
      </c>
      <c r="D22" s="2">
        <f t="shared" si="0"/>
        <v>21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74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BXX_SLP2_II1.DA_LO</v>
      </c>
      <c r="R22" t="s">
        <v>14</v>
      </c>
      <c r="S22" s="4" t="str">
        <f t="shared" si="1"/>
        <v>SLP1 Current LO Alarm</v>
      </c>
      <c r="T22">
        <v>0</v>
      </c>
      <c r="U22">
        <v>0</v>
      </c>
    </row>
    <row r="23" spans="1:64" x14ac:dyDescent="0.25">
      <c r="A23" s="4" t="str">
        <f>$A$3&amp;"_PB_LL_DE"</f>
        <v>BXX_SLP2_II1_PB_LL_DE</v>
      </c>
      <c r="B23" s="4" t="str">
        <f t="shared" si="2"/>
        <v>BXX_SLP2_II1</v>
      </c>
      <c r="C23" s="4" t="str">
        <f>$C$3 &amp; " LOLO Alarm Dialer Enable"</f>
        <v>SLP1 Current LOLO Alarm Dialer Enable</v>
      </c>
      <c r="D23" s="2">
        <f t="shared" si="0"/>
        <v>37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BXX_SLP2_II1.PB_LL.DE</v>
      </c>
      <c r="R23" t="s">
        <v>14</v>
      </c>
      <c r="S23" s="4" t="str">
        <f t="shared" si="1"/>
        <v>SLP1 Current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BXX_SLP2_II1_PB_ER_DE</v>
      </c>
      <c r="B24" s="4" t="str">
        <f t="shared" si="2"/>
        <v>BXX_SLP2_II1</v>
      </c>
      <c r="C24" s="4" t="str">
        <f>$C$3 &amp; " Signal Error Alarm Dialer En"</f>
        <v>SLP1 Current Signal Error Alarm Dialer En</v>
      </c>
      <c r="D24" s="2">
        <f t="shared" si="0"/>
        <v>41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BXX_SLP2_II1.PB_ER.DE</v>
      </c>
      <c r="R24" t="s">
        <v>14</v>
      </c>
      <c r="S24" s="4" t="str">
        <f t="shared" si="1"/>
        <v>SLP1 Current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BXX_SLP2_II1_PB_HH_DE</v>
      </c>
      <c r="B25" s="4" t="str">
        <f t="shared" si="2"/>
        <v>BXX_SLP2_II1</v>
      </c>
      <c r="C25" s="4" t="str">
        <f>$C$3 &amp; " HIHI Alarm Dialer Enable"</f>
        <v>SLP1 Current HIHI Alarm Dialer Enable</v>
      </c>
      <c r="D25" s="2">
        <f t="shared" si="0"/>
        <v>37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BXX_SLP2_II1.PB_HH.DE</v>
      </c>
      <c r="R25" t="s">
        <v>14</v>
      </c>
      <c r="S25" s="4" t="str">
        <f t="shared" si="1"/>
        <v>SLP1 Current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BXX_SLP2_II1_PB_LL_SR</v>
      </c>
      <c r="B26" s="4" t="str">
        <f t="shared" si="2"/>
        <v>BXX_SLP2_II1</v>
      </c>
      <c r="C26" s="4" t="str">
        <f>$C$3 &amp; " LOLO Alarm Sup Enable"</f>
        <v>SLP1 Current LOLO Alarm Sup Enable</v>
      </c>
      <c r="D26" s="2">
        <f t="shared" si="0"/>
        <v>34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BXX_SLP2_II1.PB_LL.SR</v>
      </c>
      <c r="R26" t="s">
        <v>14</v>
      </c>
      <c r="S26" s="4" t="str">
        <f t="shared" si="1"/>
        <v>SLP1 Current LOLO Alarm Sup Enable</v>
      </c>
      <c r="T26">
        <v>0</v>
      </c>
      <c r="U26">
        <v>0</v>
      </c>
    </row>
    <row r="27" spans="1:64" x14ac:dyDescent="0.25">
      <c r="A27" s="4" t="str">
        <f>$A$3&amp;"_PB_ER_SR"</f>
        <v>BXX_SLP2_II1_PB_ER_SR</v>
      </c>
      <c r="B27" s="4" t="str">
        <f t="shared" si="2"/>
        <v>BXX_SLP2_II1</v>
      </c>
      <c r="C27" s="4" t="str">
        <f>$C$3 &amp; " Signal Error Alarm Sup En"</f>
        <v>SLP1 Current Signal Error Alarm Sup En</v>
      </c>
      <c r="D27" s="2">
        <f t="shared" si="0"/>
        <v>38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BXX_SLP2_II1.PB_ER.SR</v>
      </c>
      <c r="R27" t="s">
        <v>14</v>
      </c>
      <c r="S27" s="4" t="str">
        <f t="shared" si="1"/>
        <v>SLP1 Current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BXX_SLP2_II1_PB_HH_SR</v>
      </c>
      <c r="B28" s="4" t="str">
        <f t="shared" si="2"/>
        <v>BXX_SLP2_II1</v>
      </c>
      <c r="C28" s="4" t="str">
        <f>$C$3 &amp; " HIHI Alarm Sup Enable"</f>
        <v>SLP1 Current HIHI Alarm Sup Enable</v>
      </c>
      <c r="D28" s="2">
        <f t="shared" si="0"/>
        <v>34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BXX_SLP2_II1.PB_HH.SR</v>
      </c>
      <c r="R28" t="s">
        <v>14</v>
      </c>
      <c r="S28" s="4" t="str">
        <f t="shared" si="1"/>
        <v>SLP1 Current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BXX_SLP2_II1_AI_VI</v>
      </c>
      <c r="B30" s="4" t="str">
        <f t="shared" ref="B30:B31" si="4">$A$3</f>
        <v>BXX_SLP2_II1</v>
      </c>
      <c r="C30" s="4" t="str">
        <f>$C$3 &amp; " Number of Visible Eng Values"</f>
        <v>SLP1 Current Number of Visible Eng Values</v>
      </c>
      <c r="D30" s="2">
        <f t="shared" ref="D30:D31" si="5">LEN(C30)</f>
        <v>41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BXX_SLP2_II1.AI_VI</v>
      </c>
      <c r="AU30" t="s">
        <v>14</v>
      </c>
      <c r="AV30" s="4" t="str">
        <f>C30</f>
        <v>SLP1 Current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BXX_SLP2_II1_AI_DC</v>
      </c>
      <c r="B31" s="4" t="str">
        <f t="shared" si="4"/>
        <v>BXX_SLP2_II1</v>
      </c>
      <c r="C31" s="4" t="str">
        <f>$C$3 &amp; " Precision"</f>
        <v>SLP1 Current Precision</v>
      </c>
      <c r="D31" s="2">
        <f t="shared" si="5"/>
        <v>22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BXX_SLP2_II1.AI_DC</v>
      </c>
      <c r="AU31" t="s">
        <v>14</v>
      </c>
      <c r="AV31" s="4" t="str">
        <f t="shared" ref="AV31" si="9">C31</f>
        <v>SLP1 Current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BXX_SLP2_II1_SN_LL</v>
      </c>
      <c r="B33" s="4" t="str">
        <f t="shared" ref="B33:C46" si="10">$A$3</f>
        <v>BXX_SLP2_II1</v>
      </c>
      <c r="C33" s="4" t="str">
        <f>$C$3 &amp; " LOLO Alarm Delay"</f>
        <v>SLP1 Current LOLO Alarm Delay</v>
      </c>
      <c r="D33" s="2">
        <f t="shared" ref="D33:D88" si="11">LEN(C33)</f>
        <v>29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BXX_SLP2_II1.SN_LL</v>
      </c>
      <c r="AU33" t="s">
        <v>14</v>
      </c>
      <c r="AV33" s="4" t="str">
        <f>C33</f>
        <v>SLP1 Current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BXX_SLP2_II1_SN_HI</v>
      </c>
      <c r="B34" s="4" t="str">
        <f t="shared" si="10"/>
        <v>BXX_SLP2_II1</v>
      </c>
      <c r="C34" s="4" t="str">
        <f>$C$3 &amp; " High Alarm Delay"</f>
        <v>SLP1 Current High Alarm Delay</v>
      </c>
      <c r="D34" s="2">
        <f t="shared" si="11"/>
        <v>29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$A$3&amp;".SN_HI"</f>
        <v>BXX_SLP2_II1.SN_HI</v>
      </c>
      <c r="AU34" t="s">
        <v>14</v>
      </c>
      <c r="AV34" s="4" t="str">
        <f t="shared" ref="AV34:AV44" si="15">C34</f>
        <v>SLP1 Current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BXX_SLP2_II1_AI_CV</v>
      </c>
      <c r="B35" s="4" t="str">
        <f t="shared" si="10"/>
        <v>BXX_SLP2_II1</v>
      </c>
      <c r="C35" s="4" t="str">
        <f>$C$3 &amp; " Current Value"</f>
        <v>SLP1 Current Current Value</v>
      </c>
      <c r="D35" s="2">
        <f t="shared" si="11"/>
        <v>26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172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BXX_SLP2_II1.AI_CV</v>
      </c>
      <c r="AU35" t="s">
        <v>14</v>
      </c>
      <c r="AV35" s="4" t="str">
        <f t="shared" si="15"/>
        <v>SLP1 Current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BXX_SLP2_II1_AO_XM</v>
      </c>
      <c r="B36" s="4" t="str">
        <f t="shared" si="10"/>
        <v>BXX_SLP2_II1</v>
      </c>
      <c r="C36" s="4" t="str">
        <f>$C$3 &amp; " Span Setpoint"</f>
        <v>SLP1 Current Span Setpoint</v>
      </c>
      <c r="D36" s="2">
        <f t="shared" si="11"/>
        <v>26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A</v>
      </c>
      <c r="M36" s="4">
        <f t="shared" si="12"/>
        <v>0</v>
      </c>
      <c r="N36" s="4">
        <f t="shared" ref="N36:N41" si="17">$N$35</f>
        <v>0</v>
      </c>
      <c r="O36" s="4">
        <f t="shared" ref="O36:O41" si="18">$O$35</f>
        <v>150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150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BXX_SLP2_II1.AO_XM</v>
      </c>
      <c r="AU36" t="s">
        <v>14</v>
      </c>
      <c r="AV36" s="4" t="str">
        <f t="shared" si="15"/>
        <v>SLP1 Current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BXX_SLP2_II1_AO_LO</v>
      </c>
      <c r="B37" s="4" t="str">
        <f t="shared" si="10"/>
        <v>BXX_SLP2_II1</v>
      </c>
      <c r="C37" s="4" t="str">
        <f>$C$3 &amp; " Low Setpoint"</f>
        <v>SLP1 Current Low Setpoint</v>
      </c>
      <c r="D37" s="2">
        <f t="shared" si="11"/>
        <v>25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A</v>
      </c>
      <c r="M37" s="4">
        <f t="shared" si="12"/>
        <v>0</v>
      </c>
      <c r="N37" s="4">
        <f t="shared" si="17"/>
        <v>0</v>
      </c>
      <c r="O37" s="4">
        <f t="shared" si="18"/>
        <v>150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150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BXX_SLP2_II1.AO_LO</v>
      </c>
      <c r="AU37" t="s">
        <v>14</v>
      </c>
      <c r="AV37" s="4" t="str">
        <f t="shared" si="15"/>
        <v>SLP1 Current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BXX_SLP2_II1_AO_HH</v>
      </c>
      <c r="B38" s="4" t="str">
        <f t="shared" si="10"/>
        <v>BXX_SLP2_II1</v>
      </c>
      <c r="C38" s="4" t="str">
        <f>$C$3 &amp; " HIHI Setpoint"</f>
        <v>SLP1 Current HIHI Setpoint</v>
      </c>
      <c r="D38" s="2">
        <f t="shared" si="11"/>
        <v>26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A</v>
      </c>
      <c r="M38" s="4">
        <f t="shared" si="12"/>
        <v>0</v>
      </c>
      <c r="N38" s="4">
        <f t="shared" si="17"/>
        <v>0</v>
      </c>
      <c r="O38" s="4">
        <f t="shared" si="18"/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BXX_SLP2_II1.AO_HH</v>
      </c>
      <c r="AU38" t="s">
        <v>14</v>
      </c>
      <c r="AV38" s="4" t="str">
        <f t="shared" si="15"/>
        <v>SLP1 Current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BXX_SLP2_II1_AO_HI</v>
      </c>
      <c r="B39" s="4" t="str">
        <f t="shared" si="10"/>
        <v>BXX_SLP2_II1</v>
      </c>
      <c r="C39" s="4" t="str">
        <f>$C$3 &amp; " High Setpoint"</f>
        <v>SLP1 Current High Setpoint</v>
      </c>
      <c r="D39" s="2">
        <f t="shared" si="11"/>
        <v>26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A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BXX_SLP2_II1.AO_HI</v>
      </c>
      <c r="AU39" t="s">
        <v>14</v>
      </c>
      <c r="AV39" s="4" t="str">
        <f t="shared" si="15"/>
        <v>SLP1 Current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BXX_SLP2_II1_AO_SV</v>
      </c>
      <c r="B40" s="4" t="str">
        <f t="shared" si="10"/>
        <v>BXX_SLP2_II1</v>
      </c>
      <c r="C40" s="4" t="str">
        <f>$C$3 &amp; " Override Value"</f>
        <v>SLP1 Current Override Value</v>
      </c>
      <c r="D40" s="2">
        <f t="shared" si="11"/>
        <v>27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A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BXX_SLP2_II1.AO_SV</v>
      </c>
      <c r="AU40" t="s">
        <v>14</v>
      </c>
      <c r="AV40" s="4" t="str">
        <f t="shared" si="15"/>
        <v>SLP1 Current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BXX_SLP2_II1_AO_EM</v>
      </c>
      <c r="B41" s="4" t="str">
        <f t="shared" si="10"/>
        <v>BXX_SLP2_II1</v>
      </c>
      <c r="C41" s="4" t="str">
        <f>$C$3 &amp; " Zero Setpoint"</f>
        <v>SLP1 Current Zero Setpoint</v>
      </c>
      <c r="D41" s="2">
        <f t="shared" si="11"/>
        <v>26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A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BXX_SLP2_II1.AO_EM</v>
      </c>
      <c r="AU41" t="s">
        <v>14</v>
      </c>
      <c r="AV41" s="4" t="str">
        <f t="shared" si="15"/>
        <v>SLP1 Current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BXX_SLP2_II1_SN_HH</v>
      </c>
      <c r="B42" s="4" t="str">
        <f t="shared" si="10"/>
        <v>BXX_SLP2_II1</v>
      </c>
      <c r="C42" s="4" t="str">
        <f>$C$3 &amp; " HIHI Alarm Delay"</f>
        <v>SLP1 Current HIHI Alarm Delay</v>
      </c>
      <c r="D42" s="2">
        <f t="shared" si="11"/>
        <v>29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$A$3&amp;".SN_HH"</f>
        <v>BXX_SLP2_II1.SN_HH</v>
      </c>
      <c r="AU42" t="s">
        <v>14</v>
      </c>
      <c r="AV42" s="4" t="str">
        <f t="shared" si="15"/>
        <v>SLP1 Current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BXX_SLP2_II1_SN_LO</v>
      </c>
      <c r="B43" s="4" t="str">
        <f t="shared" si="10"/>
        <v>BXX_SLP2_II1</v>
      </c>
      <c r="C43" s="4" t="str">
        <f>$C$3 &amp; " Low Alarm Delay"</f>
        <v>SLP1 Current Low Alarm Delay</v>
      </c>
      <c r="D43" s="2">
        <f t="shared" si="11"/>
        <v>28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$A$3&amp;".SN_LO"</f>
        <v>BXX_SLP2_II1.SN_LO</v>
      </c>
      <c r="AU43" t="s">
        <v>14</v>
      </c>
      <c r="AV43" s="4" t="str">
        <f t="shared" si="15"/>
        <v>SLP1 Current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BXX_SLP2_II1_AO_LL</v>
      </c>
      <c r="B44" s="4" t="str">
        <f t="shared" si="10"/>
        <v>BXX_SLP2_II1</v>
      </c>
      <c r="C44" s="4" t="str">
        <f>$C$3 &amp; " LOLO Setpoint"</f>
        <v>SLP1 Current LOLO Setpoint</v>
      </c>
      <c r="D44" s="2">
        <f t="shared" si="11"/>
        <v>26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A</v>
      </c>
      <c r="M44" s="4">
        <f t="shared" si="12"/>
        <v>0</v>
      </c>
      <c r="N44" s="4">
        <f t="shared" ref="N44" si="20">$N$35</f>
        <v>0</v>
      </c>
      <c r="O44" s="4">
        <f t="shared" ref="O44" si="21">$O$35</f>
        <v>150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150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BXX_SLP2_II1.AO_LL</v>
      </c>
      <c r="AU44" t="s">
        <v>14</v>
      </c>
      <c r="AV44" s="4" t="str">
        <f t="shared" si="15"/>
        <v>SLP1 Current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BXX_SLP2_II1_DI_NM</v>
      </c>
      <c r="B46" s="4" t="str">
        <f t="shared" si="10"/>
        <v>BXX_SLP2_II1</v>
      </c>
      <c r="C46" s="4" t="str">
        <f t="shared" si="10"/>
        <v>BXX_SLP2_II1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t="s">
        <v>116</v>
      </c>
      <c r="K46" t="s">
        <v>116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BXX_SLP2_II1_PB_HH_RN</v>
      </c>
      <c r="B50" s="4" t="str">
        <f>$A$3</f>
        <v>BXX_SLP2_II1</v>
      </c>
      <c r="C50" s="4" t="str">
        <f>$C$3 &amp; " HIHI Alarm Disabled Reason"</f>
        <v>SLP1 Current HIHI Alarm Disabled Reason</v>
      </c>
      <c r="D50" s="2">
        <f t="shared" si="11"/>
        <v>39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BXX_SLP2_II1_PB_HH_RN</v>
      </c>
      <c r="N50" t="s">
        <v>14</v>
      </c>
      <c r="O50" s="4" t="str">
        <f>C50</f>
        <v>SLP1 Current HIHI Alarm Disabled Reason</v>
      </c>
    </row>
    <row r="51" spans="1:16" x14ac:dyDescent="0.25">
      <c r="A51" s="4" t="str">
        <f>$A$3&amp;"_PB_LL_RN"</f>
        <v>BXX_SLP2_II1_PB_LL_RN</v>
      </c>
      <c r="B51" s="4" t="str">
        <f t="shared" ref="B51:B52" si="22">$A$3</f>
        <v>BXX_SLP2_II1</v>
      </c>
      <c r="C51" s="4" t="str">
        <f>$C$3 &amp; " LOLO Alarm Disabled Reason"</f>
        <v>SLP1 Current LOLO Alarm Disabled Reason</v>
      </c>
      <c r="D51" s="2">
        <f t="shared" si="11"/>
        <v>39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3">A51</f>
        <v>BXX_SLP2_II1_PB_LL_RN</v>
      </c>
      <c r="N51" t="s">
        <v>14</v>
      </c>
      <c r="O51" s="4" t="str">
        <f t="shared" ref="O51:O52" si="24">C51</f>
        <v>SLP1 Current LOLO Alarm Disabled Reason</v>
      </c>
    </row>
    <row r="52" spans="1:16" x14ac:dyDescent="0.25">
      <c r="A52" s="4" t="str">
        <f>$A$3&amp;"_PB_ER_RN"</f>
        <v>BXX_SLP2_II1_PB_ER_RN</v>
      </c>
      <c r="B52" s="4" t="str">
        <f t="shared" si="22"/>
        <v>BXX_SLP2_II1</v>
      </c>
      <c r="C52" s="4" t="str">
        <f>$C$3 &amp; " Sig Error Alarm Dis Reason"</f>
        <v>SLP1 Current Sig Error Alarm Dis Reason</v>
      </c>
      <c r="D52" s="2">
        <f t="shared" si="11"/>
        <v>39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3"/>
        <v>BXX_SLP2_II1_PB_ER_RN</v>
      </c>
      <c r="N52" t="s">
        <v>14</v>
      </c>
      <c r="O52" s="4" t="str">
        <f t="shared" si="24"/>
        <v>SLP1 Current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487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561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559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6:D27 D33:D44 D51:D88">
    <cfRule type="cellIs" dxfId="174" priority="4" operator="greaterThan">
      <formula>49</formula>
    </cfRule>
  </conditionalFormatting>
  <conditionalFormatting sqref="D30:D31">
    <cfRule type="cellIs" dxfId="173" priority="3" operator="greaterThan">
      <formula>49</formula>
    </cfRule>
  </conditionalFormatting>
  <conditionalFormatting sqref="D46:D50">
    <cfRule type="cellIs" dxfId="172" priority="2" operator="greaterThan">
      <formula>49</formula>
    </cfRule>
  </conditionalFormatting>
  <conditionalFormatting sqref="D28">
    <cfRule type="cellIs" dxfId="171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A27" zoomScale="80" zoomScaleNormal="100" zoomScaleSheetLayoutView="80" workbookViewId="0">
      <selection activeCell="K50" sqref="K50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433</v>
      </c>
      <c r="B3" s="4" t="str">
        <f>BXXPLC1!A5</f>
        <v>BXX</v>
      </c>
      <c r="C3" s="3" t="s">
        <v>171</v>
      </c>
      <c r="D3" s="2">
        <f>LEN(C3)</f>
        <v>12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BXX_SLP3_II1_DI_AD</v>
      </c>
      <c r="B6" s="4" t="str">
        <f>$A$4</f>
        <v>BXX_DSAB</v>
      </c>
      <c r="C6" s="4" t="str">
        <f>$C$3 &amp; " Disabled Analog Alarm"</f>
        <v>SLP1 Current Disabled Analog Alarm</v>
      </c>
      <c r="D6" s="2">
        <f>LEN(C6)</f>
        <v>34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BXX_SLP3_II1.DI_AD</v>
      </c>
      <c r="R6" t="s">
        <v>14</v>
      </c>
      <c r="S6" s="4" t="str">
        <f>C6</f>
        <v>SLP1 Current Disabled Analog Alarm</v>
      </c>
      <c r="T6">
        <v>0</v>
      </c>
      <c r="U6">
        <v>0</v>
      </c>
    </row>
    <row r="7" spans="1:23" x14ac:dyDescent="0.25">
      <c r="A7" s="4" t="str">
        <f>$A$3&amp;"_DI_SC"</f>
        <v>BXX_SLP3_II1_DI_SC</v>
      </c>
      <c r="B7" s="4" t="str">
        <f>$A$3</f>
        <v>BXX_SLP3_II1</v>
      </c>
      <c r="C7" s="4" t="str">
        <f>$C$3 &amp; " Scan Status"</f>
        <v>SLP1 Current Scan Status</v>
      </c>
      <c r="D7" s="2">
        <f t="shared" ref="D7:D28" si="0">LEN(C7)</f>
        <v>24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BXX_SLP3_II1.DI_SC</v>
      </c>
      <c r="R7" t="s">
        <v>14</v>
      </c>
      <c r="S7" s="4" t="str">
        <f t="shared" ref="S7:S28" si="1">C7</f>
        <v>SLP1 Current Scan Status</v>
      </c>
      <c r="T7">
        <v>0</v>
      </c>
      <c r="U7">
        <v>0</v>
      </c>
    </row>
    <row r="8" spans="1:23" x14ac:dyDescent="0.25">
      <c r="A8" s="4" t="str">
        <f>$A$3&amp;"_DA_LL"</f>
        <v>BXX_SLP3_II1_DA_LL</v>
      </c>
      <c r="B8" s="4" t="str">
        <f t="shared" ref="B8:B28" si="2">$A$3</f>
        <v>BXX_SLP3_II1</v>
      </c>
      <c r="C8" s="4" t="str">
        <f>$C$3 &amp; " LOLO Alarm"</f>
        <v>SLP1 Current LOLO Alarm</v>
      </c>
      <c r="D8" s="2">
        <f t="shared" si="0"/>
        <v>23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74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BXX_SLP3_II1.DA_LL</v>
      </c>
      <c r="R8" t="s">
        <v>14</v>
      </c>
      <c r="S8" s="4" t="str">
        <f t="shared" si="1"/>
        <v>SLP1 Current LOLO Alarm</v>
      </c>
      <c r="T8">
        <v>0</v>
      </c>
      <c r="U8">
        <v>0</v>
      </c>
    </row>
    <row r="9" spans="1:23" x14ac:dyDescent="0.25">
      <c r="A9" s="4" t="str">
        <f>$A$3&amp;"_DA_ER"</f>
        <v>BXX_SLP3_II1_DA_ER</v>
      </c>
      <c r="B9" s="4" t="str">
        <f t="shared" si="2"/>
        <v>BXX_SLP3_II1</v>
      </c>
      <c r="C9" s="4" t="str">
        <f>$C$3 &amp; " Signal Error Alarm"</f>
        <v>SLP1 Current Signal Error Alarm</v>
      </c>
      <c r="D9" s="2">
        <f t="shared" si="0"/>
        <v>31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BXX_SLP3_II1.DA_ER</v>
      </c>
      <c r="R9" t="s">
        <v>14</v>
      </c>
      <c r="S9" s="4" t="str">
        <f t="shared" si="1"/>
        <v>SLP1 Current Signal Error Alarm</v>
      </c>
      <c r="T9">
        <v>0</v>
      </c>
      <c r="U9">
        <v>0</v>
      </c>
    </row>
    <row r="10" spans="1:23" x14ac:dyDescent="0.25">
      <c r="A10" s="4" t="str">
        <f>$A$3&amp;"_PB_SM"</f>
        <v>BXX_SLP3_II1_PB_SM</v>
      </c>
      <c r="B10" s="4" t="str">
        <f t="shared" si="2"/>
        <v>BXX_SLP3_II1</v>
      </c>
      <c r="C10" s="4" t="str">
        <f>$C$3 &amp; " Alarm Test"</f>
        <v>SLP1 Current Alarm Test</v>
      </c>
      <c r="D10" s="2">
        <f t="shared" si="0"/>
        <v>23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BXX_SLP3_II1.PB_SM</v>
      </c>
      <c r="R10" t="s">
        <v>14</v>
      </c>
      <c r="S10" s="4" t="str">
        <f t="shared" si="1"/>
        <v>SLP1 Current Alarm Test</v>
      </c>
      <c r="T10">
        <v>0</v>
      </c>
      <c r="U10">
        <v>0</v>
      </c>
    </row>
    <row r="11" spans="1:23" x14ac:dyDescent="0.25">
      <c r="A11" s="4" t="str">
        <f>$A$3&amp;"_PB_SV"</f>
        <v>BXX_SLP3_II1_PB_SV</v>
      </c>
      <c r="B11" s="4" t="str">
        <f t="shared" si="2"/>
        <v>BXX_SLP3_II1</v>
      </c>
      <c r="C11" s="4" t="str">
        <f>$C$3 &amp; " Override Enable"</f>
        <v>SLP1 Current Override Enable</v>
      </c>
      <c r="D11" s="2">
        <f t="shared" si="0"/>
        <v>28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BXX_SLP3_II1.PB_SV</v>
      </c>
      <c r="R11" t="s">
        <v>14</v>
      </c>
      <c r="S11" s="4" t="str">
        <f t="shared" si="1"/>
        <v>SLP1 Current Override Enable</v>
      </c>
      <c r="T11">
        <v>0</v>
      </c>
      <c r="U11">
        <v>0</v>
      </c>
    </row>
    <row r="12" spans="1:23" x14ac:dyDescent="0.25">
      <c r="A12" s="4" t="str">
        <f>$A$3&amp;"_PB_AE"</f>
        <v>BXX_SLP3_II1_PB_AE</v>
      </c>
      <c r="B12" s="4" t="str">
        <f t="shared" si="2"/>
        <v>BXX_SLP3_II1</v>
      </c>
      <c r="C12" s="4" t="str">
        <f>$C$3 &amp; " Alarm Enable"</f>
        <v>SLP1 Current Alarm Enable</v>
      </c>
      <c r="D12" s="2">
        <f t="shared" si="0"/>
        <v>25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BXX_SLP3_II1.PB_AE.RE</v>
      </c>
      <c r="R12" t="s">
        <v>14</v>
      </c>
      <c r="S12" s="4" t="str">
        <f t="shared" si="1"/>
        <v>SLP1 Current Alarm Enable</v>
      </c>
      <c r="T12">
        <v>0</v>
      </c>
      <c r="U12">
        <v>0</v>
      </c>
    </row>
    <row r="13" spans="1:23" x14ac:dyDescent="0.25">
      <c r="A13" s="4" t="str">
        <f>$A$3&amp;"_PB_HI"</f>
        <v>BXX_SLP3_II1_PB_HI</v>
      </c>
      <c r="B13" s="4" t="str">
        <f t="shared" si="2"/>
        <v>BXX_SLP3_II1</v>
      </c>
      <c r="C13" s="4" t="str">
        <f>$C$3 &amp; " High Alarm Enable"</f>
        <v>SLP1 Current High Alarm Enable</v>
      </c>
      <c r="D13" s="2">
        <f t="shared" si="0"/>
        <v>30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BXX_SLP3_II1.PB_HI.RE</v>
      </c>
      <c r="R13" t="s">
        <v>14</v>
      </c>
      <c r="S13" s="4" t="str">
        <f t="shared" si="1"/>
        <v>SLP1 Current High Alarm Enable</v>
      </c>
      <c r="T13">
        <v>0</v>
      </c>
      <c r="U13">
        <v>0</v>
      </c>
    </row>
    <row r="14" spans="1:23" x14ac:dyDescent="0.25">
      <c r="A14" s="4" t="str">
        <f>$A$3&amp;"_PB_LO"</f>
        <v>BXX_SLP3_II1_PB_LO</v>
      </c>
      <c r="B14" s="4" t="str">
        <f t="shared" si="2"/>
        <v>BXX_SLP3_II1</v>
      </c>
      <c r="C14" s="4" t="str">
        <f>$C$3 &amp; " Low Alarm Enable"</f>
        <v>SLP1 Current Low Alarm Enable</v>
      </c>
      <c r="D14" s="2">
        <f t="shared" si="0"/>
        <v>29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BXX_SLP3_II1.PB_LO.RE</v>
      </c>
      <c r="R14" t="s">
        <v>14</v>
      </c>
      <c r="S14" s="4" t="str">
        <f t="shared" si="1"/>
        <v>SLP1 Current Low Alarm Enable</v>
      </c>
      <c r="T14">
        <v>0</v>
      </c>
      <c r="U14">
        <v>0</v>
      </c>
    </row>
    <row r="15" spans="1:23" x14ac:dyDescent="0.25">
      <c r="A15" s="4" t="str">
        <f>$A$3&amp;"_PB_LL"</f>
        <v>BXX_SLP3_II1_PB_LL</v>
      </c>
      <c r="B15" s="4" t="str">
        <f t="shared" si="2"/>
        <v>BXX_SLP3_II1</v>
      </c>
      <c r="C15" s="4" t="str">
        <f>$C$3 &amp; " LOLO Alarm Enable"</f>
        <v>SLP1 Current LOLO Alarm Enable</v>
      </c>
      <c r="D15" s="2">
        <f t="shared" si="0"/>
        <v>30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BXX_SLP3_II1.PB_LL.RE</v>
      </c>
      <c r="R15" t="s">
        <v>14</v>
      </c>
      <c r="S15" s="4" t="str">
        <f t="shared" si="1"/>
        <v>SLP1 Current LOLO Alarm Enable</v>
      </c>
      <c r="T15">
        <v>0</v>
      </c>
      <c r="U15">
        <v>0</v>
      </c>
    </row>
    <row r="16" spans="1:23" x14ac:dyDescent="0.25">
      <c r="A16" s="4" t="str">
        <f>$A$3&amp;"_PB_ER"</f>
        <v>BXX_SLP3_II1_PB_ER</v>
      </c>
      <c r="B16" s="4" t="str">
        <f t="shared" si="2"/>
        <v>BXX_SLP3_II1</v>
      </c>
      <c r="C16" s="4" t="str">
        <f>$C$3 &amp; " Signal Error Alarm En"</f>
        <v>SLP1 Current Signal Error Alarm En</v>
      </c>
      <c r="D16" s="2">
        <f t="shared" si="0"/>
        <v>34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BXX_SLP3_II1.PB_ER.RE</v>
      </c>
      <c r="R16" t="s">
        <v>14</v>
      </c>
      <c r="S16" s="4" t="str">
        <f t="shared" si="1"/>
        <v>SLP1 Current Signal Error Alarm En</v>
      </c>
      <c r="T16">
        <v>0</v>
      </c>
      <c r="U16">
        <v>0</v>
      </c>
    </row>
    <row r="17" spans="1:64" x14ac:dyDescent="0.25">
      <c r="A17" s="4" t="str">
        <f>$A$3&amp;"_PB_SC"</f>
        <v>BXX_SLP3_II1_PB_SC</v>
      </c>
      <c r="B17" s="4" t="str">
        <f t="shared" si="2"/>
        <v>BXX_SLP3_II1</v>
      </c>
      <c r="C17" s="4" t="str">
        <f>$C$3 &amp; " Scan Enable"</f>
        <v>SLP1 Current Scan Enable</v>
      </c>
      <c r="D17" s="2">
        <f t="shared" si="0"/>
        <v>24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BXX_SLP3_II1.PB_SC</v>
      </c>
      <c r="R17" t="s">
        <v>14</v>
      </c>
      <c r="S17" s="4" t="str">
        <f t="shared" si="1"/>
        <v>SLP1 Current Scan Enable</v>
      </c>
      <c r="T17">
        <v>0</v>
      </c>
      <c r="U17">
        <v>0</v>
      </c>
    </row>
    <row r="18" spans="1:64" x14ac:dyDescent="0.25">
      <c r="A18" s="4" t="str">
        <f>$A$3&amp;"_DA_HH"</f>
        <v>BXX_SLP3_II1_DA_HH</v>
      </c>
      <c r="B18" s="4" t="str">
        <f t="shared" si="2"/>
        <v>BXX_SLP3_II1</v>
      </c>
      <c r="C18" s="4" t="str">
        <f>$C$3 &amp; " HIHI Alarm"</f>
        <v>SLP1 Current HIHI Alarm</v>
      </c>
      <c r="D18" s="2">
        <f t="shared" si="0"/>
        <v>23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74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BXX_SLP3_II1.DA_HH</v>
      </c>
      <c r="R18" t="s">
        <v>14</v>
      </c>
      <c r="S18" s="4" t="str">
        <f t="shared" si="1"/>
        <v>SLP1 Current HIHI Alarm</v>
      </c>
      <c r="T18">
        <v>0</v>
      </c>
      <c r="U18">
        <v>0</v>
      </c>
    </row>
    <row r="19" spans="1:64" x14ac:dyDescent="0.25">
      <c r="A19" s="4" t="str">
        <f>$A$3&amp;"_DA_HI"</f>
        <v>BXX_SLP3_II1_DA_HI</v>
      </c>
      <c r="B19" s="4" t="str">
        <f t="shared" si="2"/>
        <v>BXX_SLP3_II1</v>
      </c>
      <c r="C19" s="4" t="str">
        <f>$C$3 &amp; " HI Alarm"</f>
        <v>SLP1 Current HI Alarm</v>
      </c>
      <c r="D19" s="2">
        <f t="shared" si="0"/>
        <v>21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74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BXX_SLP3_II1.DA_HI</v>
      </c>
      <c r="R19" t="s">
        <v>14</v>
      </c>
      <c r="S19" s="4" t="str">
        <f t="shared" si="1"/>
        <v>SLP1 Current HI Alarm</v>
      </c>
      <c r="T19">
        <v>0</v>
      </c>
      <c r="U19">
        <v>0</v>
      </c>
    </row>
    <row r="20" spans="1:64" x14ac:dyDescent="0.25">
      <c r="A20" s="4" t="str">
        <f>$A$3&amp;"_PB_HH"</f>
        <v>BXX_SLP3_II1_PB_HH</v>
      </c>
      <c r="B20" s="4" t="str">
        <f t="shared" si="2"/>
        <v>BXX_SLP3_II1</v>
      </c>
      <c r="C20" s="4" t="str">
        <f>$C$3 &amp; " HIHI Alarm Enable"</f>
        <v>SLP1 Current HIHI Alarm Enable</v>
      </c>
      <c r="D20" s="2">
        <f t="shared" si="0"/>
        <v>30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BXX_SLP3_II1.PB_HH.RE</v>
      </c>
      <c r="R20" t="s">
        <v>14</v>
      </c>
      <c r="S20" s="4" t="str">
        <f t="shared" si="1"/>
        <v>SLP1 Current HIHI Alarm Enable</v>
      </c>
      <c r="T20">
        <v>0</v>
      </c>
      <c r="U20">
        <v>0</v>
      </c>
    </row>
    <row r="21" spans="1:64" x14ac:dyDescent="0.25">
      <c r="A21" s="4" t="str">
        <f>$A$3&amp;"_PB_AR"</f>
        <v>BXX_SLP3_II1_PB_AR</v>
      </c>
      <c r="B21" s="4" t="str">
        <f t="shared" si="2"/>
        <v>BXX_SLP3_II1</v>
      </c>
      <c r="C21" s="4" t="str">
        <f>$C$3 &amp; " Alarm Reset"</f>
        <v>SLP1 Current Alarm Reset</v>
      </c>
      <c r="D21" s="2">
        <f t="shared" si="0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BXX_SLP3_II1.PB_AR</v>
      </c>
      <c r="R21" t="s">
        <v>14</v>
      </c>
      <c r="S21" s="4" t="str">
        <f t="shared" si="1"/>
        <v>SLP1 Current Alarm Reset</v>
      </c>
      <c r="T21">
        <v>0</v>
      </c>
      <c r="U21">
        <v>0</v>
      </c>
    </row>
    <row r="22" spans="1:64" x14ac:dyDescent="0.25">
      <c r="A22" s="4" t="str">
        <f>$A$3&amp;"_DA_LO"</f>
        <v>BXX_SLP3_II1_DA_LO</v>
      </c>
      <c r="B22" s="4" t="str">
        <f t="shared" si="2"/>
        <v>BXX_SLP3_II1</v>
      </c>
      <c r="C22" s="4" t="str">
        <f>$C$3 &amp; " LO Alarm"</f>
        <v>SLP1 Current LO Alarm</v>
      </c>
      <c r="D22" s="2">
        <f t="shared" si="0"/>
        <v>21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74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BXX_SLP3_II1.DA_LO</v>
      </c>
      <c r="R22" t="s">
        <v>14</v>
      </c>
      <c r="S22" s="4" t="str">
        <f t="shared" si="1"/>
        <v>SLP1 Current LO Alarm</v>
      </c>
      <c r="T22">
        <v>0</v>
      </c>
      <c r="U22">
        <v>0</v>
      </c>
    </row>
    <row r="23" spans="1:64" x14ac:dyDescent="0.25">
      <c r="A23" s="4" t="str">
        <f>$A$3&amp;"_PB_LL_DE"</f>
        <v>BXX_SLP3_II1_PB_LL_DE</v>
      </c>
      <c r="B23" s="4" t="str">
        <f t="shared" si="2"/>
        <v>BXX_SLP3_II1</v>
      </c>
      <c r="C23" s="4" t="str">
        <f>$C$3 &amp; " LOLO Alarm Dialer Enable"</f>
        <v>SLP1 Current LOLO Alarm Dialer Enable</v>
      </c>
      <c r="D23" s="2">
        <f t="shared" si="0"/>
        <v>37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BXX_SLP3_II1.PB_LL.DE</v>
      </c>
      <c r="R23" t="s">
        <v>14</v>
      </c>
      <c r="S23" s="4" t="str">
        <f t="shared" si="1"/>
        <v>SLP1 Current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BXX_SLP3_II1_PB_ER_DE</v>
      </c>
      <c r="B24" s="4" t="str">
        <f t="shared" si="2"/>
        <v>BXX_SLP3_II1</v>
      </c>
      <c r="C24" s="4" t="str">
        <f>$C$3 &amp; " Signal Error Alarm Dialer En"</f>
        <v>SLP1 Current Signal Error Alarm Dialer En</v>
      </c>
      <c r="D24" s="2">
        <f t="shared" si="0"/>
        <v>41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BXX_SLP3_II1.PB_ER.DE</v>
      </c>
      <c r="R24" t="s">
        <v>14</v>
      </c>
      <c r="S24" s="4" t="str">
        <f t="shared" si="1"/>
        <v>SLP1 Current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BXX_SLP3_II1_PB_HH_DE</v>
      </c>
      <c r="B25" s="4" t="str">
        <f t="shared" si="2"/>
        <v>BXX_SLP3_II1</v>
      </c>
      <c r="C25" s="4" t="str">
        <f>$C$3 &amp; " HIHI Alarm Dialer Enable"</f>
        <v>SLP1 Current HIHI Alarm Dialer Enable</v>
      </c>
      <c r="D25" s="2">
        <f t="shared" si="0"/>
        <v>37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BXX_SLP3_II1.PB_HH.DE</v>
      </c>
      <c r="R25" t="s">
        <v>14</v>
      </c>
      <c r="S25" s="4" t="str">
        <f t="shared" si="1"/>
        <v>SLP1 Current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BXX_SLP3_II1_PB_LL_SR</v>
      </c>
      <c r="B26" s="4" t="str">
        <f t="shared" si="2"/>
        <v>BXX_SLP3_II1</v>
      </c>
      <c r="C26" s="4" t="str">
        <f>$C$3 &amp; " LOLO Alarm Sup Enable"</f>
        <v>SLP1 Current LOLO Alarm Sup Enable</v>
      </c>
      <c r="D26" s="2">
        <f t="shared" si="0"/>
        <v>34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BXX_SLP3_II1.PB_LL.SR</v>
      </c>
      <c r="R26" t="s">
        <v>14</v>
      </c>
      <c r="S26" s="4" t="str">
        <f t="shared" si="1"/>
        <v>SLP1 Current LOLO Alarm Sup Enable</v>
      </c>
      <c r="T26">
        <v>0</v>
      </c>
      <c r="U26">
        <v>0</v>
      </c>
    </row>
    <row r="27" spans="1:64" x14ac:dyDescent="0.25">
      <c r="A27" s="4" t="str">
        <f>$A$3&amp;"_PB_ER_SR"</f>
        <v>BXX_SLP3_II1_PB_ER_SR</v>
      </c>
      <c r="B27" s="4" t="str">
        <f t="shared" si="2"/>
        <v>BXX_SLP3_II1</v>
      </c>
      <c r="C27" s="4" t="str">
        <f>$C$3 &amp; " Signal Error Alarm Sup En"</f>
        <v>SLP1 Current Signal Error Alarm Sup En</v>
      </c>
      <c r="D27" s="2">
        <f t="shared" si="0"/>
        <v>38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BXX_SLP3_II1.PB_ER.SR</v>
      </c>
      <c r="R27" t="s">
        <v>14</v>
      </c>
      <c r="S27" s="4" t="str">
        <f t="shared" si="1"/>
        <v>SLP1 Current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BXX_SLP3_II1_PB_HH_SR</v>
      </c>
      <c r="B28" s="4" t="str">
        <f t="shared" si="2"/>
        <v>BXX_SLP3_II1</v>
      </c>
      <c r="C28" s="4" t="str">
        <f>$C$3 &amp; " HIHI Alarm Sup Enable"</f>
        <v>SLP1 Current HIHI Alarm Sup Enable</v>
      </c>
      <c r="D28" s="2">
        <f t="shared" si="0"/>
        <v>34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BXX_SLP3_II1.PB_HH.SR</v>
      </c>
      <c r="R28" t="s">
        <v>14</v>
      </c>
      <c r="S28" s="4" t="str">
        <f t="shared" si="1"/>
        <v>SLP1 Current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BXX_SLP3_II1_AI_VI</v>
      </c>
      <c r="B30" s="4" t="str">
        <f t="shared" ref="B30:B31" si="4">$A$3</f>
        <v>BXX_SLP3_II1</v>
      </c>
      <c r="C30" s="4" t="str">
        <f>$C$3 &amp; " Number of Visible Eng Values"</f>
        <v>SLP1 Current Number of Visible Eng Values</v>
      </c>
      <c r="D30" s="2">
        <f t="shared" ref="D30:D31" si="5">LEN(C30)</f>
        <v>41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BXX_SLP3_II1.AI_VI</v>
      </c>
      <c r="AU30" t="s">
        <v>14</v>
      </c>
      <c r="AV30" s="4" t="str">
        <f>C30</f>
        <v>SLP1 Current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BXX_SLP3_II1_AI_DC</v>
      </c>
      <c r="B31" s="4" t="str">
        <f t="shared" si="4"/>
        <v>BXX_SLP3_II1</v>
      </c>
      <c r="C31" s="4" t="str">
        <f>$C$3 &amp; " Precision"</f>
        <v>SLP1 Current Precision</v>
      </c>
      <c r="D31" s="2">
        <f t="shared" si="5"/>
        <v>22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BXX_SLP3_II1.AI_DC</v>
      </c>
      <c r="AU31" t="s">
        <v>14</v>
      </c>
      <c r="AV31" s="4" t="str">
        <f t="shared" ref="AV31" si="9">C31</f>
        <v>SLP1 Current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BXX_SLP3_II1_SN_LL</v>
      </c>
      <c r="B33" s="4" t="str">
        <f t="shared" ref="B33:C46" si="10">$A$3</f>
        <v>BXX_SLP3_II1</v>
      </c>
      <c r="C33" s="4" t="str">
        <f>$C$3 &amp; " LOLO Alarm Delay"</f>
        <v>SLP1 Current LOLO Alarm Delay</v>
      </c>
      <c r="D33" s="2">
        <f t="shared" ref="D33:D88" si="11">LEN(C33)</f>
        <v>29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BXX_SLP3_II1.SN_LL</v>
      </c>
      <c r="AU33" t="s">
        <v>14</v>
      </c>
      <c r="AV33" s="4" t="str">
        <f>C33</f>
        <v>SLP1 Current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BXX_SLP3_II1_SN_HI</v>
      </c>
      <c r="B34" s="4" t="str">
        <f t="shared" si="10"/>
        <v>BXX_SLP3_II1</v>
      </c>
      <c r="C34" s="4" t="str">
        <f>$C$3 &amp; " High Alarm Delay"</f>
        <v>SLP1 Current High Alarm Delay</v>
      </c>
      <c r="D34" s="2">
        <f t="shared" si="11"/>
        <v>29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$A$3&amp;".SN_HI"</f>
        <v>BXX_SLP3_II1.SN_HI</v>
      </c>
      <c r="AU34" t="s">
        <v>14</v>
      </c>
      <c r="AV34" s="4" t="str">
        <f t="shared" ref="AV34:AV44" si="15">C34</f>
        <v>SLP1 Current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BXX_SLP3_II1_AI_CV</v>
      </c>
      <c r="B35" s="4" t="str">
        <f t="shared" si="10"/>
        <v>BXX_SLP3_II1</v>
      </c>
      <c r="C35" s="4" t="str">
        <f>$C$3 &amp; " Current Value"</f>
        <v>SLP1 Current Current Value</v>
      </c>
      <c r="D35" s="2">
        <f t="shared" si="11"/>
        <v>26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172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BXX_SLP3_II1.AI_CV</v>
      </c>
      <c r="AU35" t="s">
        <v>14</v>
      </c>
      <c r="AV35" s="4" t="str">
        <f t="shared" si="15"/>
        <v>SLP1 Current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BXX_SLP3_II1_AO_XM</v>
      </c>
      <c r="B36" s="4" t="str">
        <f t="shared" si="10"/>
        <v>BXX_SLP3_II1</v>
      </c>
      <c r="C36" s="4" t="str">
        <f>$C$3 &amp; " Span Setpoint"</f>
        <v>SLP1 Current Span Setpoint</v>
      </c>
      <c r="D36" s="2">
        <f t="shared" si="11"/>
        <v>26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A</v>
      </c>
      <c r="M36" s="4">
        <f t="shared" si="12"/>
        <v>0</v>
      </c>
      <c r="N36" s="4">
        <f t="shared" ref="N36:N41" si="17">$N$35</f>
        <v>0</v>
      </c>
      <c r="O36" s="4">
        <f t="shared" ref="O36:O41" si="18">$O$35</f>
        <v>150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150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BXX_SLP3_II1.AO_XM</v>
      </c>
      <c r="AU36" t="s">
        <v>14</v>
      </c>
      <c r="AV36" s="4" t="str">
        <f t="shared" si="15"/>
        <v>SLP1 Current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BXX_SLP3_II1_AO_LO</v>
      </c>
      <c r="B37" s="4" t="str">
        <f t="shared" si="10"/>
        <v>BXX_SLP3_II1</v>
      </c>
      <c r="C37" s="4" t="str">
        <f>$C$3 &amp; " Low Setpoint"</f>
        <v>SLP1 Current Low Setpoint</v>
      </c>
      <c r="D37" s="2">
        <f t="shared" si="11"/>
        <v>25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A</v>
      </c>
      <c r="M37" s="4">
        <f t="shared" si="12"/>
        <v>0</v>
      </c>
      <c r="N37" s="4">
        <f t="shared" si="17"/>
        <v>0</v>
      </c>
      <c r="O37" s="4">
        <f t="shared" si="18"/>
        <v>150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150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BXX_SLP3_II1.AO_LO</v>
      </c>
      <c r="AU37" t="s">
        <v>14</v>
      </c>
      <c r="AV37" s="4" t="str">
        <f t="shared" si="15"/>
        <v>SLP1 Current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BXX_SLP3_II1_AO_HH</v>
      </c>
      <c r="B38" s="4" t="str">
        <f t="shared" si="10"/>
        <v>BXX_SLP3_II1</v>
      </c>
      <c r="C38" s="4" t="str">
        <f>$C$3 &amp; " HIHI Setpoint"</f>
        <v>SLP1 Current HIHI Setpoint</v>
      </c>
      <c r="D38" s="2">
        <f t="shared" si="11"/>
        <v>26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A</v>
      </c>
      <c r="M38" s="4">
        <f t="shared" si="12"/>
        <v>0</v>
      </c>
      <c r="N38" s="4">
        <f t="shared" si="17"/>
        <v>0</v>
      </c>
      <c r="O38" s="4">
        <f t="shared" si="18"/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BXX_SLP3_II1.AO_HH</v>
      </c>
      <c r="AU38" t="s">
        <v>14</v>
      </c>
      <c r="AV38" s="4" t="str">
        <f t="shared" si="15"/>
        <v>SLP1 Current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BXX_SLP3_II1_AO_HI</v>
      </c>
      <c r="B39" s="4" t="str">
        <f t="shared" si="10"/>
        <v>BXX_SLP3_II1</v>
      </c>
      <c r="C39" s="4" t="str">
        <f>$C$3 &amp; " High Setpoint"</f>
        <v>SLP1 Current High Setpoint</v>
      </c>
      <c r="D39" s="2">
        <f t="shared" si="11"/>
        <v>26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A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BXX_SLP3_II1.AO_HI</v>
      </c>
      <c r="AU39" t="s">
        <v>14</v>
      </c>
      <c r="AV39" s="4" t="str">
        <f t="shared" si="15"/>
        <v>SLP1 Current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BXX_SLP3_II1_AO_SV</v>
      </c>
      <c r="B40" s="4" t="str">
        <f t="shared" si="10"/>
        <v>BXX_SLP3_II1</v>
      </c>
      <c r="C40" s="4" t="str">
        <f>$C$3 &amp; " Override Value"</f>
        <v>SLP1 Current Override Value</v>
      </c>
      <c r="D40" s="2">
        <f t="shared" si="11"/>
        <v>27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A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BXX_SLP3_II1.AO_SV</v>
      </c>
      <c r="AU40" t="s">
        <v>14</v>
      </c>
      <c r="AV40" s="4" t="str">
        <f t="shared" si="15"/>
        <v>SLP1 Current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BXX_SLP3_II1_AO_EM</v>
      </c>
      <c r="B41" s="4" t="str">
        <f t="shared" si="10"/>
        <v>BXX_SLP3_II1</v>
      </c>
      <c r="C41" s="4" t="str">
        <f>$C$3 &amp; " Zero Setpoint"</f>
        <v>SLP1 Current Zero Setpoint</v>
      </c>
      <c r="D41" s="2">
        <f t="shared" si="11"/>
        <v>26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A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BXX_SLP3_II1.AO_EM</v>
      </c>
      <c r="AU41" t="s">
        <v>14</v>
      </c>
      <c r="AV41" s="4" t="str">
        <f t="shared" si="15"/>
        <v>SLP1 Current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BXX_SLP3_II1_SN_HH</v>
      </c>
      <c r="B42" s="4" t="str">
        <f t="shared" si="10"/>
        <v>BXX_SLP3_II1</v>
      </c>
      <c r="C42" s="4" t="str">
        <f>$C$3 &amp; " HIHI Alarm Delay"</f>
        <v>SLP1 Current HIHI Alarm Delay</v>
      </c>
      <c r="D42" s="2">
        <f t="shared" si="11"/>
        <v>29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$A$3&amp;".SN_HH"</f>
        <v>BXX_SLP3_II1.SN_HH</v>
      </c>
      <c r="AU42" t="s">
        <v>14</v>
      </c>
      <c r="AV42" s="4" t="str">
        <f t="shared" si="15"/>
        <v>SLP1 Current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BXX_SLP3_II1_SN_LO</v>
      </c>
      <c r="B43" s="4" t="str">
        <f t="shared" si="10"/>
        <v>BXX_SLP3_II1</v>
      </c>
      <c r="C43" s="4" t="str">
        <f>$C$3 &amp; " Low Alarm Delay"</f>
        <v>SLP1 Current Low Alarm Delay</v>
      </c>
      <c r="D43" s="2">
        <f t="shared" si="11"/>
        <v>28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$A$3&amp;".SN_LO"</f>
        <v>BXX_SLP3_II1.SN_LO</v>
      </c>
      <c r="AU43" t="s">
        <v>14</v>
      </c>
      <c r="AV43" s="4" t="str">
        <f t="shared" si="15"/>
        <v>SLP1 Current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BXX_SLP3_II1_AO_LL</v>
      </c>
      <c r="B44" s="4" t="str">
        <f t="shared" si="10"/>
        <v>BXX_SLP3_II1</v>
      </c>
      <c r="C44" s="4" t="str">
        <f>$C$3 &amp; " LOLO Setpoint"</f>
        <v>SLP1 Current LOLO Setpoint</v>
      </c>
      <c r="D44" s="2">
        <f t="shared" si="11"/>
        <v>26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A</v>
      </c>
      <c r="M44" s="4">
        <f t="shared" si="12"/>
        <v>0</v>
      </c>
      <c r="N44" s="4">
        <f t="shared" ref="N44" si="20">$N$35</f>
        <v>0</v>
      </c>
      <c r="O44" s="4">
        <f t="shared" ref="O44" si="21">$O$35</f>
        <v>150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150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BXX_SLP3_II1.AO_LL</v>
      </c>
      <c r="AU44" t="s">
        <v>14</v>
      </c>
      <c r="AV44" s="4" t="str">
        <f t="shared" si="15"/>
        <v>SLP1 Current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BXX_SLP3_II1_DI_NM</v>
      </c>
      <c r="B46" s="4" t="str">
        <f t="shared" si="10"/>
        <v>BXX_SLP3_II1</v>
      </c>
      <c r="C46" s="4" t="str">
        <f t="shared" si="10"/>
        <v>BXX_SLP3_II1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t="s">
        <v>116</v>
      </c>
      <c r="K46" t="s">
        <v>116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BXX_SLP3_II1_PB_HH_RN</v>
      </c>
      <c r="B50" s="4" t="str">
        <f>$A$3</f>
        <v>BXX_SLP3_II1</v>
      </c>
      <c r="C50" s="4" t="str">
        <f>$C$3 &amp; " HIHI Alarm Disabled Reason"</f>
        <v>SLP1 Current HIHI Alarm Disabled Reason</v>
      </c>
      <c r="D50" s="2">
        <f t="shared" si="11"/>
        <v>39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BXX_SLP3_II1_PB_HH_RN</v>
      </c>
      <c r="N50" t="s">
        <v>14</v>
      </c>
      <c r="O50" s="4" t="str">
        <f>C50</f>
        <v>SLP1 Current HIHI Alarm Disabled Reason</v>
      </c>
    </row>
    <row r="51" spans="1:16" x14ac:dyDescent="0.25">
      <c r="A51" s="4" t="str">
        <f>$A$3&amp;"_PB_LL_RN"</f>
        <v>BXX_SLP3_II1_PB_LL_RN</v>
      </c>
      <c r="B51" s="4" t="str">
        <f t="shared" ref="B51:B52" si="22">$A$3</f>
        <v>BXX_SLP3_II1</v>
      </c>
      <c r="C51" s="4" t="str">
        <f>$C$3 &amp; " LOLO Alarm Disabled Reason"</f>
        <v>SLP1 Current LOLO Alarm Disabled Reason</v>
      </c>
      <c r="D51" s="2">
        <f t="shared" si="11"/>
        <v>39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3">A51</f>
        <v>BXX_SLP3_II1_PB_LL_RN</v>
      </c>
      <c r="N51" t="s">
        <v>14</v>
      </c>
      <c r="O51" s="4" t="str">
        <f t="shared" ref="O51:O52" si="24">C51</f>
        <v>SLP1 Current LOLO Alarm Disabled Reason</v>
      </c>
    </row>
    <row r="52" spans="1:16" x14ac:dyDescent="0.25">
      <c r="A52" s="4" t="str">
        <f>$A$3&amp;"_PB_ER_RN"</f>
        <v>BXX_SLP3_II1_PB_ER_RN</v>
      </c>
      <c r="B52" s="4" t="str">
        <f t="shared" si="22"/>
        <v>BXX_SLP3_II1</v>
      </c>
      <c r="C52" s="4" t="str">
        <f>$C$3 &amp; " Sig Error Alarm Dis Reason"</f>
        <v>SLP1 Current Sig Error Alarm Dis Reason</v>
      </c>
      <c r="D52" s="2">
        <f t="shared" si="11"/>
        <v>39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3"/>
        <v>BXX_SLP3_II1_PB_ER_RN</v>
      </c>
      <c r="N52" t="s">
        <v>14</v>
      </c>
      <c r="O52" s="4" t="str">
        <f t="shared" si="24"/>
        <v>SLP1 Current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487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561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559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6:D27 D33:D44 D51:D88">
    <cfRule type="cellIs" dxfId="170" priority="4" operator="greaterThan">
      <formula>49</formula>
    </cfRule>
  </conditionalFormatting>
  <conditionalFormatting sqref="D30:D31">
    <cfRule type="cellIs" dxfId="169" priority="3" operator="greaterThan">
      <formula>49</formula>
    </cfRule>
  </conditionalFormatting>
  <conditionalFormatting sqref="D46:D50">
    <cfRule type="cellIs" dxfId="168" priority="2" operator="greaterThan">
      <formula>49</formula>
    </cfRule>
  </conditionalFormatting>
  <conditionalFormatting sqref="D28">
    <cfRule type="cellIs" dxfId="167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A46" zoomScale="80" zoomScaleNormal="100" zoomScaleSheetLayoutView="80" workbookViewId="0">
      <selection activeCell="K50" sqref="K50"/>
    </sheetView>
  </sheetViews>
  <sheetFormatPr defaultRowHeight="15" x14ac:dyDescent="0.25"/>
  <cols>
    <col min="1" max="1" width="22.7109375" bestFit="1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434</v>
      </c>
      <c r="B3" s="4" t="str">
        <f>BXXPLC1!A5</f>
        <v>BXX</v>
      </c>
      <c r="C3" s="3" t="s">
        <v>171</v>
      </c>
      <c r="D3" s="2">
        <f>LEN(C3)</f>
        <v>12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BXX_SLP4_II1_DI_AD</v>
      </c>
      <c r="B6" s="4" t="str">
        <f>$A$4</f>
        <v>BXX_DSAB</v>
      </c>
      <c r="C6" s="4" t="str">
        <f>$C$3 &amp; " Disabled Analog Alarm"</f>
        <v>SLP1 Current Disabled Analog Alarm</v>
      </c>
      <c r="D6" s="2">
        <f>LEN(C6)</f>
        <v>34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BXX_SLP4_II1.DI_AD</v>
      </c>
      <c r="R6" t="s">
        <v>14</v>
      </c>
      <c r="S6" s="4" t="str">
        <f>C6</f>
        <v>SLP1 Current Disabled Analog Alarm</v>
      </c>
      <c r="T6">
        <v>0</v>
      </c>
      <c r="U6">
        <v>0</v>
      </c>
    </row>
    <row r="7" spans="1:23" x14ac:dyDescent="0.25">
      <c r="A7" s="4" t="str">
        <f>$A$3&amp;"_DI_SC"</f>
        <v>BXX_SLP4_II1_DI_SC</v>
      </c>
      <c r="B7" s="4" t="str">
        <f>$A$3</f>
        <v>BXX_SLP4_II1</v>
      </c>
      <c r="C7" s="4" t="str">
        <f>$C$3 &amp; " Scan Status"</f>
        <v>SLP1 Current Scan Status</v>
      </c>
      <c r="D7" s="2">
        <f t="shared" ref="D7:D28" si="0">LEN(C7)</f>
        <v>24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BXX_SLP4_II1.DI_SC</v>
      </c>
      <c r="R7" t="s">
        <v>14</v>
      </c>
      <c r="S7" s="4" t="str">
        <f t="shared" ref="S7:S28" si="1">C7</f>
        <v>SLP1 Current Scan Status</v>
      </c>
      <c r="T7">
        <v>0</v>
      </c>
      <c r="U7">
        <v>0</v>
      </c>
    </row>
    <row r="8" spans="1:23" x14ac:dyDescent="0.25">
      <c r="A8" s="4" t="str">
        <f>$A$3&amp;"_DA_LL"</f>
        <v>BXX_SLP4_II1_DA_LL</v>
      </c>
      <c r="B8" s="4" t="str">
        <f t="shared" ref="B8:B28" si="2">$A$3</f>
        <v>BXX_SLP4_II1</v>
      </c>
      <c r="C8" s="4" t="str">
        <f>$C$3 &amp; " LOLO Alarm"</f>
        <v>SLP1 Current LOLO Alarm</v>
      </c>
      <c r="D8" s="2">
        <f t="shared" si="0"/>
        <v>23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74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BXX_SLP4_II1.DA_LL</v>
      </c>
      <c r="R8" t="s">
        <v>14</v>
      </c>
      <c r="S8" s="4" t="str">
        <f t="shared" si="1"/>
        <v>SLP1 Current LOLO Alarm</v>
      </c>
      <c r="T8">
        <v>0</v>
      </c>
      <c r="U8">
        <v>0</v>
      </c>
    </row>
    <row r="9" spans="1:23" x14ac:dyDescent="0.25">
      <c r="A9" s="4" t="str">
        <f>$A$3&amp;"_DA_ER"</f>
        <v>BXX_SLP4_II1_DA_ER</v>
      </c>
      <c r="B9" s="4" t="str">
        <f t="shared" si="2"/>
        <v>BXX_SLP4_II1</v>
      </c>
      <c r="C9" s="4" t="str">
        <f>$C$3 &amp; " Signal Error Alarm"</f>
        <v>SLP1 Current Signal Error Alarm</v>
      </c>
      <c r="D9" s="2">
        <f t="shared" si="0"/>
        <v>31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BXX_SLP4_II1.DA_ER</v>
      </c>
      <c r="R9" t="s">
        <v>14</v>
      </c>
      <c r="S9" s="4" t="str">
        <f t="shared" si="1"/>
        <v>SLP1 Current Signal Error Alarm</v>
      </c>
      <c r="T9">
        <v>0</v>
      </c>
      <c r="U9">
        <v>0</v>
      </c>
    </row>
    <row r="10" spans="1:23" x14ac:dyDescent="0.25">
      <c r="A10" s="4" t="str">
        <f>$A$3&amp;"_PB_SM"</f>
        <v>BXX_SLP4_II1_PB_SM</v>
      </c>
      <c r="B10" s="4" t="str">
        <f t="shared" si="2"/>
        <v>BXX_SLP4_II1</v>
      </c>
      <c r="C10" s="4" t="str">
        <f>$C$3 &amp; " Alarm Test"</f>
        <v>SLP1 Current Alarm Test</v>
      </c>
      <c r="D10" s="2">
        <f t="shared" si="0"/>
        <v>23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BXX_SLP4_II1.PB_SM</v>
      </c>
      <c r="R10" t="s">
        <v>14</v>
      </c>
      <c r="S10" s="4" t="str">
        <f t="shared" si="1"/>
        <v>SLP1 Current Alarm Test</v>
      </c>
      <c r="T10">
        <v>0</v>
      </c>
      <c r="U10">
        <v>0</v>
      </c>
    </row>
    <row r="11" spans="1:23" x14ac:dyDescent="0.25">
      <c r="A11" s="4" t="str">
        <f>$A$3&amp;"_PB_SV"</f>
        <v>BXX_SLP4_II1_PB_SV</v>
      </c>
      <c r="B11" s="4" t="str">
        <f t="shared" si="2"/>
        <v>BXX_SLP4_II1</v>
      </c>
      <c r="C11" s="4" t="str">
        <f>$C$3 &amp; " Override Enable"</f>
        <v>SLP1 Current Override Enable</v>
      </c>
      <c r="D11" s="2">
        <f t="shared" si="0"/>
        <v>28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BXX_SLP4_II1.PB_SV</v>
      </c>
      <c r="R11" t="s">
        <v>14</v>
      </c>
      <c r="S11" s="4" t="str">
        <f t="shared" si="1"/>
        <v>SLP1 Current Override Enable</v>
      </c>
      <c r="T11">
        <v>0</v>
      </c>
      <c r="U11">
        <v>0</v>
      </c>
    </row>
    <row r="12" spans="1:23" x14ac:dyDescent="0.25">
      <c r="A12" s="4" t="str">
        <f>$A$3&amp;"_PB_AE"</f>
        <v>BXX_SLP4_II1_PB_AE</v>
      </c>
      <c r="B12" s="4" t="str">
        <f t="shared" si="2"/>
        <v>BXX_SLP4_II1</v>
      </c>
      <c r="C12" s="4" t="str">
        <f>$C$3 &amp; " Alarm Enable"</f>
        <v>SLP1 Current Alarm Enable</v>
      </c>
      <c r="D12" s="2">
        <f t="shared" si="0"/>
        <v>25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BXX_SLP4_II1.PB_AE.RE</v>
      </c>
      <c r="R12" t="s">
        <v>14</v>
      </c>
      <c r="S12" s="4" t="str">
        <f t="shared" si="1"/>
        <v>SLP1 Current Alarm Enable</v>
      </c>
      <c r="T12">
        <v>0</v>
      </c>
      <c r="U12">
        <v>0</v>
      </c>
    </row>
    <row r="13" spans="1:23" x14ac:dyDescent="0.25">
      <c r="A13" s="4" t="str">
        <f>$A$3&amp;"_PB_HI"</f>
        <v>BXX_SLP4_II1_PB_HI</v>
      </c>
      <c r="B13" s="4" t="str">
        <f t="shared" si="2"/>
        <v>BXX_SLP4_II1</v>
      </c>
      <c r="C13" s="4" t="str">
        <f>$C$3 &amp; " High Alarm Enable"</f>
        <v>SLP1 Current High Alarm Enable</v>
      </c>
      <c r="D13" s="2">
        <f t="shared" si="0"/>
        <v>30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BXX_SLP4_II1.PB_HI.RE</v>
      </c>
      <c r="R13" t="s">
        <v>14</v>
      </c>
      <c r="S13" s="4" t="str">
        <f t="shared" si="1"/>
        <v>SLP1 Current High Alarm Enable</v>
      </c>
      <c r="T13">
        <v>0</v>
      </c>
      <c r="U13">
        <v>0</v>
      </c>
    </row>
    <row r="14" spans="1:23" x14ac:dyDescent="0.25">
      <c r="A14" s="4" t="str">
        <f>$A$3&amp;"_PB_LO"</f>
        <v>BXX_SLP4_II1_PB_LO</v>
      </c>
      <c r="B14" s="4" t="str">
        <f t="shared" si="2"/>
        <v>BXX_SLP4_II1</v>
      </c>
      <c r="C14" s="4" t="str">
        <f>$C$3 &amp; " Low Alarm Enable"</f>
        <v>SLP1 Current Low Alarm Enable</v>
      </c>
      <c r="D14" s="2">
        <f t="shared" si="0"/>
        <v>29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BXX_SLP4_II1.PB_LO.RE</v>
      </c>
      <c r="R14" t="s">
        <v>14</v>
      </c>
      <c r="S14" s="4" t="str">
        <f t="shared" si="1"/>
        <v>SLP1 Current Low Alarm Enable</v>
      </c>
      <c r="T14">
        <v>0</v>
      </c>
      <c r="U14">
        <v>0</v>
      </c>
    </row>
    <row r="15" spans="1:23" x14ac:dyDescent="0.25">
      <c r="A15" s="4" t="str">
        <f>$A$3&amp;"_PB_LL"</f>
        <v>BXX_SLP4_II1_PB_LL</v>
      </c>
      <c r="B15" s="4" t="str">
        <f t="shared" si="2"/>
        <v>BXX_SLP4_II1</v>
      </c>
      <c r="C15" s="4" t="str">
        <f>$C$3 &amp; " LOLO Alarm Enable"</f>
        <v>SLP1 Current LOLO Alarm Enable</v>
      </c>
      <c r="D15" s="2">
        <f t="shared" si="0"/>
        <v>30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BXX_SLP4_II1.PB_LL.RE</v>
      </c>
      <c r="R15" t="s">
        <v>14</v>
      </c>
      <c r="S15" s="4" t="str">
        <f t="shared" si="1"/>
        <v>SLP1 Current LOLO Alarm Enable</v>
      </c>
      <c r="T15">
        <v>0</v>
      </c>
      <c r="U15">
        <v>0</v>
      </c>
    </row>
    <row r="16" spans="1:23" x14ac:dyDescent="0.25">
      <c r="A16" s="4" t="str">
        <f>$A$3&amp;"_PB_ER"</f>
        <v>BXX_SLP4_II1_PB_ER</v>
      </c>
      <c r="B16" s="4" t="str">
        <f t="shared" si="2"/>
        <v>BXX_SLP4_II1</v>
      </c>
      <c r="C16" s="4" t="str">
        <f>$C$3 &amp; " Signal Error Alarm En"</f>
        <v>SLP1 Current Signal Error Alarm En</v>
      </c>
      <c r="D16" s="2">
        <f t="shared" si="0"/>
        <v>34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BXX_SLP4_II1.PB_ER.RE</v>
      </c>
      <c r="R16" t="s">
        <v>14</v>
      </c>
      <c r="S16" s="4" t="str">
        <f t="shared" si="1"/>
        <v>SLP1 Current Signal Error Alarm En</v>
      </c>
      <c r="T16">
        <v>0</v>
      </c>
      <c r="U16">
        <v>0</v>
      </c>
    </row>
    <row r="17" spans="1:64" x14ac:dyDescent="0.25">
      <c r="A17" s="4" t="str">
        <f>$A$3&amp;"_PB_SC"</f>
        <v>BXX_SLP4_II1_PB_SC</v>
      </c>
      <c r="B17" s="4" t="str">
        <f t="shared" si="2"/>
        <v>BXX_SLP4_II1</v>
      </c>
      <c r="C17" s="4" t="str">
        <f>$C$3 &amp; " Scan Enable"</f>
        <v>SLP1 Current Scan Enable</v>
      </c>
      <c r="D17" s="2">
        <f t="shared" si="0"/>
        <v>24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BXX_SLP4_II1.PB_SC</v>
      </c>
      <c r="R17" t="s">
        <v>14</v>
      </c>
      <c r="S17" s="4" t="str">
        <f t="shared" si="1"/>
        <v>SLP1 Current Scan Enable</v>
      </c>
      <c r="T17">
        <v>0</v>
      </c>
      <c r="U17">
        <v>0</v>
      </c>
    </row>
    <row r="18" spans="1:64" x14ac:dyDescent="0.25">
      <c r="A18" s="4" t="str">
        <f>$A$3&amp;"_DA_HH"</f>
        <v>BXX_SLP4_II1_DA_HH</v>
      </c>
      <c r="B18" s="4" t="str">
        <f t="shared" si="2"/>
        <v>BXX_SLP4_II1</v>
      </c>
      <c r="C18" s="4" t="str">
        <f>$C$3 &amp; " HIHI Alarm"</f>
        <v>SLP1 Current HIHI Alarm</v>
      </c>
      <c r="D18" s="2">
        <f t="shared" si="0"/>
        <v>23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74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BXX_SLP4_II1.DA_HH</v>
      </c>
      <c r="R18" t="s">
        <v>14</v>
      </c>
      <c r="S18" s="4" t="str">
        <f t="shared" si="1"/>
        <v>SLP1 Current HIHI Alarm</v>
      </c>
      <c r="T18">
        <v>0</v>
      </c>
      <c r="U18">
        <v>0</v>
      </c>
    </row>
    <row r="19" spans="1:64" x14ac:dyDescent="0.25">
      <c r="A19" s="4" t="str">
        <f>$A$3&amp;"_DA_HI"</f>
        <v>BXX_SLP4_II1_DA_HI</v>
      </c>
      <c r="B19" s="4" t="str">
        <f t="shared" si="2"/>
        <v>BXX_SLP4_II1</v>
      </c>
      <c r="C19" s="4" t="str">
        <f>$C$3 &amp; " HI Alarm"</f>
        <v>SLP1 Current HI Alarm</v>
      </c>
      <c r="D19" s="2">
        <f t="shared" si="0"/>
        <v>21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74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BXX_SLP4_II1.DA_HI</v>
      </c>
      <c r="R19" t="s">
        <v>14</v>
      </c>
      <c r="S19" s="4" t="str">
        <f t="shared" si="1"/>
        <v>SLP1 Current HI Alarm</v>
      </c>
      <c r="T19">
        <v>0</v>
      </c>
      <c r="U19">
        <v>0</v>
      </c>
    </row>
    <row r="20" spans="1:64" x14ac:dyDescent="0.25">
      <c r="A20" s="4" t="str">
        <f>$A$3&amp;"_PB_HH"</f>
        <v>BXX_SLP4_II1_PB_HH</v>
      </c>
      <c r="B20" s="4" t="str">
        <f t="shared" si="2"/>
        <v>BXX_SLP4_II1</v>
      </c>
      <c r="C20" s="4" t="str">
        <f>$C$3 &amp; " HIHI Alarm Enable"</f>
        <v>SLP1 Current HIHI Alarm Enable</v>
      </c>
      <c r="D20" s="2">
        <f t="shared" si="0"/>
        <v>30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BXX_SLP4_II1.PB_HH.RE</v>
      </c>
      <c r="R20" t="s">
        <v>14</v>
      </c>
      <c r="S20" s="4" t="str">
        <f t="shared" si="1"/>
        <v>SLP1 Current HIHI Alarm Enable</v>
      </c>
      <c r="T20">
        <v>0</v>
      </c>
      <c r="U20">
        <v>0</v>
      </c>
    </row>
    <row r="21" spans="1:64" x14ac:dyDescent="0.25">
      <c r="A21" s="4" t="str">
        <f>$A$3&amp;"_PB_AR"</f>
        <v>BXX_SLP4_II1_PB_AR</v>
      </c>
      <c r="B21" s="4" t="str">
        <f t="shared" si="2"/>
        <v>BXX_SLP4_II1</v>
      </c>
      <c r="C21" s="4" t="str">
        <f>$C$3 &amp; " Alarm Reset"</f>
        <v>SLP1 Current Alarm Reset</v>
      </c>
      <c r="D21" s="2">
        <f t="shared" si="0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BXX_SLP4_II1.PB_AR</v>
      </c>
      <c r="R21" t="s">
        <v>14</v>
      </c>
      <c r="S21" s="4" t="str">
        <f t="shared" si="1"/>
        <v>SLP1 Current Alarm Reset</v>
      </c>
      <c r="T21">
        <v>0</v>
      </c>
      <c r="U21">
        <v>0</v>
      </c>
    </row>
    <row r="22" spans="1:64" x14ac:dyDescent="0.25">
      <c r="A22" s="4" t="str">
        <f>$A$3&amp;"_DA_LO"</f>
        <v>BXX_SLP4_II1_DA_LO</v>
      </c>
      <c r="B22" s="4" t="str">
        <f t="shared" si="2"/>
        <v>BXX_SLP4_II1</v>
      </c>
      <c r="C22" s="4" t="str">
        <f>$C$3 &amp; " LO Alarm"</f>
        <v>SLP1 Current LO Alarm</v>
      </c>
      <c r="D22" s="2">
        <f t="shared" si="0"/>
        <v>21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74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BXX_SLP4_II1.DA_LO</v>
      </c>
      <c r="R22" t="s">
        <v>14</v>
      </c>
      <c r="S22" s="4" t="str">
        <f t="shared" si="1"/>
        <v>SLP1 Current LO Alarm</v>
      </c>
      <c r="T22">
        <v>0</v>
      </c>
      <c r="U22">
        <v>0</v>
      </c>
    </row>
    <row r="23" spans="1:64" x14ac:dyDescent="0.25">
      <c r="A23" s="4" t="str">
        <f>$A$3&amp;"_PB_LL_DE"</f>
        <v>BXX_SLP4_II1_PB_LL_DE</v>
      </c>
      <c r="B23" s="4" t="str">
        <f t="shared" si="2"/>
        <v>BXX_SLP4_II1</v>
      </c>
      <c r="C23" s="4" t="str">
        <f>$C$3 &amp; " LOLO Alarm Dialer Enable"</f>
        <v>SLP1 Current LOLO Alarm Dialer Enable</v>
      </c>
      <c r="D23" s="2">
        <f t="shared" si="0"/>
        <v>37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BXX_SLP4_II1.PB_LL.DE</v>
      </c>
      <c r="R23" t="s">
        <v>14</v>
      </c>
      <c r="S23" s="4" t="str">
        <f t="shared" si="1"/>
        <v>SLP1 Current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BXX_SLP4_II1_PB_ER_DE</v>
      </c>
      <c r="B24" s="4" t="str">
        <f t="shared" si="2"/>
        <v>BXX_SLP4_II1</v>
      </c>
      <c r="C24" s="4" t="str">
        <f>$C$3 &amp; " Signal Error Alarm Dialer En"</f>
        <v>SLP1 Current Signal Error Alarm Dialer En</v>
      </c>
      <c r="D24" s="2">
        <f t="shared" si="0"/>
        <v>41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BXX_SLP4_II1.PB_ER.DE</v>
      </c>
      <c r="R24" t="s">
        <v>14</v>
      </c>
      <c r="S24" s="4" t="str">
        <f t="shared" si="1"/>
        <v>SLP1 Current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BXX_SLP4_II1_PB_HH_DE</v>
      </c>
      <c r="B25" s="4" t="str">
        <f t="shared" si="2"/>
        <v>BXX_SLP4_II1</v>
      </c>
      <c r="C25" s="4" t="str">
        <f>$C$3 &amp; " HIHI Alarm Dialer Enable"</f>
        <v>SLP1 Current HIHI Alarm Dialer Enable</v>
      </c>
      <c r="D25" s="2">
        <f t="shared" si="0"/>
        <v>37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BXX_SLP4_II1.PB_HH.DE</v>
      </c>
      <c r="R25" t="s">
        <v>14</v>
      </c>
      <c r="S25" s="4" t="str">
        <f t="shared" si="1"/>
        <v>SLP1 Current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BXX_SLP4_II1_PB_LL_SR</v>
      </c>
      <c r="B26" s="4" t="str">
        <f t="shared" si="2"/>
        <v>BXX_SLP4_II1</v>
      </c>
      <c r="C26" s="4" t="str">
        <f>$C$3 &amp; " LOLO Alarm Sup Enable"</f>
        <v>SLP1 Current LOLO Alarm Sup Enable</v>
      </c>
      <c r="D26" s="2">
        <f t="shared" si="0"/>
        <v>34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BXX_SLP4_II1.PB_LL.SR</v>
      </c>
      <c r="R26" t="s">
        <v>14</v>
      </c>
      <c r="S26" s="4" t="str">
        <f t="shared" si="1"/>
        <v>SLP1 Current LOLO Alarm Sup Enable</v>
      </c>
      <c r="T26">
        <v>0</v>
      </c>
      <c r="U26">
        <v>0</v>
      </c>
    </row>
    <row r="27" spans="1:64" x14ac:dyDescent="0.25">
      <c r="A27" s="4" t="str">
        <f>$A$3&amp;"_PB_ER_SR"</f>
        <v>BXX_SLP4_II1_PB_ER_SR</v>
      </c>
      <c r="B27" s="4" t="str">
        <f t="shared" si="2"/>
        <v>BXX_SLP4_II1</v>
      </c>
      <c r="C27" s="4" t="str">
        <f>$C$3 &amp; " Signal Error Alarm Sup En"</f>
        <v>SLP1 Current Signal Error Alarm Sup En</v>
      </c>
      <c r="D27" s="2">
        <f t="shared" si="0"/>
        <v>38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BXX_SLP4_II1.PB_ER.SR</v>
      </c>
      <c r="R27" t="s">
        <v>14</v>
      </c>
      <c r="S27" s="4" t="str">
        <f t="shared" si="1"/>
        <v>SLP1 Current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BXX_SLP4_II1_PB_HH_SR</v>
      </c>
      <c r="B28" s="4" t="str">
        <f t="shared" si="2"/>
        <v>BXX_SLP4_II1</v>
      </c>
      <c r="C28" s="4" t="str">
        <f>$C$3 &amp; " HIHI Alarm Sup Enable"</f>
        <v>SLP1 Current HIHI Alarm Sup Enable</v>
      </c>
      <c r="D28" s="2">
        <f t="shared" si="0"/>
        <v>34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BXX_SLP4_II1.PB_HH.SR</v>
      </c>
      <c r="R28" t="s">
        <v>14</v>
      </c>
      <c r="S28" s="4" t="str">
        <f t="shared" si="1"/>
        <v>SLP1 Current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BXX_SLP4_II1_AI_VI</v>
      </c>
      <c r="B30" s="4" t="str">
        <f t="shared" ref="B30:B31" si="4">$A$3</f>
        <v>BXX_SLP4_II1</v>
      </c>
      <c r="C30" s="4" t="str">
        <f>$C$3 &amp; " Number of Visible Eng Values"</f>
        <v>SLP1 Current Number of Visible Eng Values</v>
      </c>
      <c r="D30" s="2">
        <f t="shared" ref="D30:D31" si="5">LEN(C30)</f>
        <v>41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BXX_SLP4_II1.AI_VI</v>
      </c>
      <c r="AU30" t="s">
        <v>14</v>
      </c>
      <c r="AV30" s="4" t="str">
        <f>C30</f>
        <v>SLP1 Current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BXX_SLP4_II1_AI_DC</v>
      </c>
      <c r="B31" s="4" t="str">
        <f t="shared" si="4"/>
        <v>BXX_SLP4_II1</v>
      </c>
      <c r="C31" s="4" t="str">
        <f>$C$3 &amp; " Precision"</f>
        <v>SLP1 Current Precision</v>
      </c>
      <c r="D31" s="2">
        <f t="shared" si="5"/>
        <v>22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BXX_SLP4_II1.AI_DC</v>
      </c>
      <c r="AU31" t="s">
        <v>14</v>
      </c>
      <c r="AV31" s="4" t="str">
        <f t="shared" ref="AV31" si="9">C31</f>
        <v>SLP1 Current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BXX_SLP4_II1_SN_LL</v>
      </c>
      <c r="B33" s="4" t="str">
        <f t="shared" ref="B33:C46" si="10">$A$3</f>
        <v>BXX_SLP4_II1</v>
      </c>
      <c r="C33" s="4" t="str">
        <f>$C$3 &amp; " LOLO Alarm Delay"</f>
        <v>SLP1 Current LOLO Alarm Delay</v>
      </c>
      <c r="D33" s="2">
        <f t="shared" ref="D33:D88" si="11">LEN(C33)</f>
        <v>29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BXX_SLP4_II1.SN_LL</v>
      </c>
      <c r="AU33" t="s">
        <v>14</v>
      </c>
      <c r="AV33" s="4" t="str">
        <f>C33</f>
        <v>SLP1 Current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BXX_SLP4_II1_SN_HI</v>
      </c>
      <c r="B34" s="4" t="str">
        <f t="shared" si="10"/>
        <v>BXX_SLP4_II1</v>
      </c>
      <c r="C34" s="4" t="str">
        <f>$C$3 &amp; " High Alarm Delay"</f>
        <v>SLP1 Current High Alarm Delay</v>
      </c>
      <c r="D34" s="2">
        <f t="shared" si="11"/>
        <v>29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$A$3&amp;".SN_HI"</f>
        <v>BXX_SLP4_II1.SN_HI</v>
      </c>
      <c r="AU34" t="s">
        <v>14</v>
      </c>
      <c r="AV34" s="4" t="str">
        <f t="shared" ref="AV34:AV44" si="15">C34</f>
        <v>SLP1 Current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BXX_SLP4_II1_AI_CV</v>
      </c>
      <c r="B35" s="4" t="str">
        <f t="shared" si="10"/>
        <v>BXX_SLP4_II1</v>
      </c>
      <c r="C35" s="4" t="str">
        <f>$C$3 &amp; " Current Value"</f>
        <v>SLP1 Current Current Value</v>
      </c>
      <c r="D35" s="2">
        <f t="shared" si="11"/>
        <v>26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172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BXX_SLP4_II1.AI_CV</v>
      </c>
      <c r="AU35" t="s">
        <v>14</v>
      </c>
      <c r="AV35" s="4" t="str">
        <f t="shared" si="15"/>
        <v>SLP1 Current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BXX_SLP4_II1_AO_XM</v>
      </c>
      <c r="B36" s="4" t="str">
        <f t="shared" si="10"/>
        <v>BXX_SLP4_II1</v>
      </c>
      <c r="C36" s="4" t="str">
        <f>$C$3 &amp; " Span Setpoint"</f>
        <v>SLP1 Current Span Setpoint</v>
      </c>
      <c r="D36" s="2">
        <f t="shared" si="11"/>
        <v>26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A</v>
      </c>
      <c r="M36" s="4">
        <f t="shared" si="12"/>
        <v>0</v>
      </c>
      <c r="N36" s="4">
        <f t="shared" ref="N36:N41" si="17">$N$35</f>
        <v>0</v>
      </c>
      <c r="O36" s="4">
        <f t="shared" ref="O36:O41" si="18">$O$35</f>
        <v>150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150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BXX_SLP4_II1.AO_XM</v>
      </c>
      <c r="AU36" t="s">
        <v>14</v>
      </c>
      <c r="AV36" s="4" t="str">
        <f t="shared" si="15"/>
        <v>SLP1 Current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BXX_SLP4_II1_AO_LO</v>
      </c>
      <c r="B37" s="4" t="str">
        <f t="shared" si="10"/>
        <v>BXX_SLP4_II1</v>
      </c>
      <c r="C37" s="4" t="str">
        <f>$C$3 &amp; " Low Setpoint"</f>
        <v>SLP1 Current Low Setpoint</v>
      </c>
      <c r="D37" s="2">
        <f t="shared" si="11"/>
        <v>25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A</v>
      </c>
      <c r="M37" s="4">
        <f t="shared" si="12"/>
        <v>0</v>
      </c>
      <c r="N37" s="4">
        <f t="shared" si="17"/>
        <v>0</v>
      </c>
      <c r="O37" s="4">
        <f t="shared" si="18"/>
        <v>150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150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BXX_SLP4_II1.AO_LO</v>
      </c>
      <c r="AU37" t="s">
        <v>14</v>
      </c>
      <c r="AV37" s="4" t="str">
        <f t="shared" si="15"/>
        <v>SLP1 Current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BXX_SLP4_II1_AO_HH</v>
      </c>
      <c r="B38" s="4" t="str">
        <f t="shared" si="10"/>
        <v>BXX_SLP4_II1</v>
      </c>
      <c r="C38" s="4" t="str">
        <f>$C$3 &amp; " HIHI Setpoint"</f>
        <v>SLP1 Current HIHI Setpoint</v>
      </c>
      <c r="D38" s="2">
        <f t="shared" si="11"/>
        <v>26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A</v>
      </c>
      <c r="M38" s="4">
        <f t="shared" si="12"/>
        <v>0</v>
      </c>
      <c r="N38" s="4">
        <f t="shared" si="17"/>
        <v>0</v>
      </c>
      <c r="O38" s="4">
        <f t="shared" si="18"/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BXX_SLP4_II1.AO_HH</v>
      </c>
      <c r="AU38" t="s">
        <v>14</v>
      </c>
      <c r="AV38" s="4" t="str">
        <f t="shared" si="15"/>
        <v>SLP1 Current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BXX_SLP4_II1_AO_HI</v>
      </c>
      <c r="B39" s="4" t="str">
        <f t="shared" si="10"/>
        <v>BXX_SLP4_II1</v>
      </c>
      <c r="C39" s="4" t="str">
        <f>$C$3 &amp; " High Setpoint"</f>
        <v>SLP1 Current High Setpoint</v>
      </c>
      <c r="D39" s="2">
        <f t="shared" si="11"/>
        <v>26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A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BXX_SLP4_II1.AO_HI</v>
      </c>
      <c r="AU39" t="s">
        <v>14</v>
      </c>
      <c r="AV39" s="4" t="str">
        <f t="shared" si="15"/>
        <v>SLP1 Current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BXX_SLP4_II1_AO_SV</v>
      </c>
      <c r="B40" s="4" t="str">
        <f t="shared" si="10"/>
        <v>BXX_SLP4_II1</v>
      </c>
      <c r="C40" s="4" t="str">
        <f>$C$3 &amp; " Override Value"</f>
        <v>SLP1 Current Override Value</v>
      </c>
      <c r="D40" s="2">
        <f t="shared" si="11"/>
        <v>27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A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BXX_SLP4_II1.AO_SV</v>
      </c>
      <c r="AU40" t="s">
        <v>14</v>
      </c>
      <c r="AV40" s="4" t="str">
        <f t="shared" si="15"/>
        <v>SLP1 Current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BXX_SLP4_II1_AO_EM</v>
      </c>
      <c r="B41" s="4" t="str">
        <f t="shared" si="10"/>
        <v>BXX_SLP4_II1</v>
      </c>
      <c r="C41" s="4" t="str">
        <f>$C$3 &amp; " Zero Setpoint"</f>
        <v>SLP1 Current Zero Setpoint</v>
      </c>
      <c r="D41" s="2">
        <f t="shared" si="11"/>
        <v>26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A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BXX_SLP4_II1.AO_EM</v>
      </c>
      <c r="AU41" t="s">
        <v>14</v>
      </c>
      <c r="AV41" s="4" t="str">
        <f t="shared" si="15"/>
        <v>SLP1 Current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BXX_SLP4_II1_SN_HH</v>
      </c>
      <c r="B42" s="4" t="str">
        <f t="shared" si="10"/>
        <v>BXX_SLP4_II1</v>
      </c>
      <c r="C42" s="4" t="str">
        <f>$C$3 &amp; " HIHI Alarm Delay"</f>
        <v>SLP1 Current HIHI Alarm Delay</v>
      </c>
      <c r="D42" s="2">
        <f t="shared" si="11"/>
        <v>29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$A$3&amp;".SN_HH"</f>
        <v>BXX_SLP4_II1.SN_HH</v>
      </c>
      <c r="AU42" t="s">
        <v>14</v>
      </c>
      <c r="AV42" s="4" t="str">
        <f t="shared" si="15"/>
        <v>SLP1 Current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BXX_SLP4_II1_SN_LO</v>
      </c>
      <c r="B43" s="4" t="str">
        <f t="shared" si="10"/>
        <v>BXX_SLP4_II1</v>
      </c>
      <c r="C43" s="4" t="str">
        <f>$C$3 &amp; " Low Alarm Delay"</f>
        <v>SLP1 Current Low Alarm Delay</v>
      </c>
      <c r="D43" s="2">
        <f t="shared" si="11"/>
        <v>28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$A$3&amp;".SN_LO"</f>
        <v>BXX_SLP4_II1.SN_LO</v>
      </c>
      <c r="AU43" t="s">
        <v>14</v>
      </c>
      <c r="AV43" s="4" t="str">
        <f t="shared" si="15"/>
        <v>SLP1 Current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BXX_SLP4_II1_AO_LL</v>
      </c>
      <c r="B44" s="4" t="str">
        <f t="shared" si="10"/>
        <v>BXX_SLP4_II1</v>
      </c>
      <c r="C44" s="4" t="str">
        <f>$C$3 &amp; " LOLO Setpoint"</f>
        <v>SLP1 Current LOLO Setpoint</v>
      </c>
      <c r="D44" s="2">
        <f t="shared" si="11"/>
        <v>26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A</v>
      </c>
      <c r="M44" s="4">
        <f t="shared" si="12"/>
        <v>0</v>
      </c>
      <c r="N44" s="4">
        <f t="shared" ref="N44" si="20">$N$35</f>
        <v>0</v>
      </c>
      <c r="O44" s="4">
        <f t="shared" ref="O44" si="21">$O$35</f>
        <v>150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150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BXX_SLP4_II1.AO_LL</v>
      </c>
      <c r="AU44" t="s">
        <v>14</v>
      </c>
      <c r="AV44" s="4" t="str">
        <f t="shared" si="15"/>
        <v>SLP1 Current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BXX_SLP4_II1_DI_NM</v>
      </c>
      <c r="B46" s="4" t="str">
        <f t="shared" si="10"/>
        <v>BXX_SLP4_II1</v>
      </c>
      <c r="C46" s="4" t="str">
        <f t="shared" si="10"/>
        <v>BXX_SLP4_II1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t="s">
        <v>116</v>
      </c>
      <c r="K46" t="s">
        <v>116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BXX_SLP4_II1_PB_HH_RN</v>
      </c>
      <c r="B50" s="4" t="str">
        <f>$A$3</f>
        <v>BXX_SLP4_II1</v>
      </c>
      <c r="C50" s="4" t="str">
        <f>$C$3 &amp; " HIHI Alarm Disabled Reason"</f>
        <v>SLP1 Current HIHI Alarm Disabled Reason</v>
      </c>
      <c r="D50" s="2">
        <f t="shared" si="11"/>
        <v>39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BXX_SLP4_II1_PB_HH_RN</v>
      </c>
      <c r="N50" t="s">
        <v>14</v>
      </c>
      <c r="O50" s="4" t="str">
        <f>C50</f>
        <v>SLP1 Current HIHI Alarm Disabled Reason</v>
      </c>
    </row>
    <row r="51" spans="1:16" x14ac:dyDescent="0.25">
      <c r="A51" s="4" t="str">
        <f>$A$3&amp;"_PB_LL_RN"</f>
        <v>BXX_SLP4_II1_PB_LL_RN</v>
      </c>
      <c r="B51" s="4" t="str">
        <f t="shared" ref="B51:B52" si="22">$A$3</f>
        <v>BXX_SLP4_II1</v>
      </c>
      <c r="C51" s="4" t="str">
        <f>$C$3 &amp; " LOLO Alarm Disabled Reason"</f>
        <v>SLP1 Current LOLO Alarm Disabled Reason</v>
      </c>
      <c r="D51" s="2">
        <f t="shared" si="11"/>
        <v>39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3">A51</f>
        <v>BXX_SLP4_II1_PB_LL_RN</v>
      </c>
      <c r="N51" t="s">
        <v>14</v>
      </c>
      <c r="O51" s="4" t="str">
        <f t="shared" ref="O51:O52" si="24">C51</f>
        <v>SLP1 Current LOLO Alarm Disabled Reason</v>
      </c>
    </row>
    <row r="52" spans="1:16" x14ac:dyDescent="0.25">
      <c r="A52" s="4" t="str">
        <f>$A$3&amp;"_PB_ER_RN"</f>
        <v>BXX_SLP4_II1_PB_ER_RN</v>
      </c>
      <c r="B52" s="4" t="str">
        <f t="shared" si="22"/>
        <v>BXX_SLP4_II1</v>
      </c>
      <c r="C52" s="4" t="str">
        <f>$C$3 &amp; " Sig Error Alarm Dis Reason"</f>
        <v>SLP1 Current Sig Error Alarm Dis Reason</v>
      </c>
      <c r="D52" s="2">
        <f t="shared" si="11"/>
        <v>39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3"/>
        <v>BXX_SLP4_II1_PB_ER_RN</v>
      </c>
      <c r="N52" t="s">
        <v>14</v>
      </c>
      <c r="O52" s="4" t="str">
        <f t="shared" si="24"/>
        <v>SLP1 Current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489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561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559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6:D27 D33:D44 D51:D88">
    <cfRule type="cellIs" dxfId="166" priority="4" operator="greaterThan">
      <formula>49</formula>
    </cfRule>
  </conditionalFormatting>
  <conditionalFormatting sqref="D30:D31">
    <cfRule type="cellIs" dxfId="165" priority="3" operator="greaterThan">
      <formula>49</formula>
    </cfRule>
  </conditionalFormatting>
  <conditionalFormatting sqref="D46:D50">
    <cfRule type="cellIs" dxfId="164" priority="2" operator="greaterThan">
      <formula>49</formula>
    </cfRule>
  </conditionalFormatting>
  <conditionalFormatting sqref="D28">
    <cfRule type="cellIs" dxfId="163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5"/>
  <sheetViews>
    <sheetView view="pageBreakPreview" topLeftCell="A49" zoomScaleNormal="70" zoomScaleSheetLayoutView="100" workbookViewId="0">
      <selection activeCell="K72" sqref="K72"/>
    </sheetView>
  </sheetViews>
  <sheetFormatPr defaultRowHeight="15" x14ac:dyDescent="0.25"/>
  <cols>
    <col min="1" max="1" width="28.42578125" customWidth="1"/>
    <col min="2" max="2" width="14.5703125" bestFit="1" customWidth="1"/>
    <col min="3" max="3" width="41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1" width="20" bestFit="1" customWidth="1"/>
    <col min="12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2851562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32.57031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435</v>
      </c>
      <c r="B3" s="4" t="str">
        <f>BXXPLC1!A5</f>
        <v>BXX</v>
      </c>
      <c r="C3" s="3" t="s">
        <v>268</v>
      </c>
      <c r="D3" s="2">
        <f>LEN(C3)</f>
        <v>10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436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51</v>
      </c>
      <c r="O5" t="s">
        <v>52</v>
      </c>
      <c r="P5" t="s">
        <v>27</v>
      </c>
      <c r="Q5" t="s">
        <v>35</v>
      </c>
      <c r="R5" t="s">
        <v>53</v>
      </c>
    </row>
    <row r="6" spans="1:23" x14ac:dyDescent="0.25">
      <c r="A6" s="5" t="s">
        <v>425</v>
      </c>
      <c r="B6" t="s">
        <v>16</v>
      </c>
      <c r="C6" t="s">
        <v>17</v>
      </c>
      <c r="E6" t="s">
        <v>39</v>
      </c>
      <c r="F6" t="s">
        <v>18</v>
      </c>
      <c r="G6" t="s">
        <v>19</v>
      </c>
      <c r="H6" t="s">
        <v>40</v>
      </c>
      <c r="I6" t="s">
        <v>41</v>
      </c>
      <c r="J6" t="s">
        <v>42</v>
      </c>
      <c r="K6" t="s">
        <v>43</v>
      </c>
      <c r="L6" t="s">
        <v>44</v>
      </c>
      <c r="M6" t="s">
        <v>45</v>
      </c>
      <c r="N6" t="s">
        <v>46</v>
      </c>
      <c r="O6" t="s">
        <v>47</v>
      </c>
      <c r="P6" t="s">
        <v>48</v>
      </c>
      <c r="Q6" t="s">
        <v>49</v>
      </c>
      <c r="R6" t="s">
        <v>50</v>
      </c>
      <c r="S6" t="s">
        <v>51</v>
      </c>
      <c r="T6" t="s">
        <v>52</v>
      </c>
      <c r="U6" t="s">
        <v>27</v>
      </c>
      <c r="V6" t="s">
        <v>35</v>
      </c>
      <c r="W6" t="s">
        <v>53</v>
      </c>
    </row>
    <row r="7" spans="1:23" x14ac:dyDescent="0.25">
      <c r="A7" s="4" t="str">
        <f>$A$3&amp;"_DI_AD"</f>
        <v>BXX_SLP1_DM1_DI_AD</v>
      </c>
      <c r="B7" s="4" t="str">
        <f>A4</f>
        <v>BXX_DSAB</v>
      </c>
      <c r="C7" s="4" t="str">
        <f>$C$3 &amp; " Disabled Alarm"</f>
        <v>BXX Pump 1 Disabled Alarm</v>
      </c>
      <c r="D7" s="2">
        <f>LEN(C7)</f>
        <v>25</v>
      </c>
      <c r="E7" t="s">
        <v>14</v>
      </c>
      <c r="F7" t="s">
        <v>14</v>
      </c>
      <c r="G7">
        <v>0</v>
      </c>
      <c r="H7" t="s">
        <v>13</v>
      </c>
      <c r="I7" t="s">
        <v>54</v>
      </c>
      <c r="J7" t="s">
        <v>54</v>
      </c>
      <c r="K7" t="s">
        <v>61</v>
      </c>
      <c r="L7" t="s">
        <v>61</v>
      </c>
      <c r="M7" s="5">
        <v>98</v>
      </c>
      <c r="N7" t="s">
        <v>57</v>
      </c>
      <c r="O7" s="4" t="str">
        <f>BXXPLC1!C3</f>
        <v>BXX</v>
      </c>
      <c r="P7" t="s">
        <v>14</v>
      </c>
      <c r="Q7" s="4" t="str">
        <f>$A$3&amp;".DI_AD"</f>
        <v>BXX_SLP1_DM1.DI_AD</v>
      </c>
      <c r="R7" t="s">
        <v>14</v>
      </c>
      <c r="S7" s="4" t="str">
        <f t="shared" ref="S7:S36" si="0">C7</f>
        <v>BXX Pump 1 Disabled Alarm</v>
      </c>
      <c r="T7">
        <v>0</v>
      </c>
      <c r="U7">
        <v>0</v>
      </c>
    </row>
    <row r="8" spans="1:23" x14ac:dyDescent="0.25">
      <c r="A8" s="4" t="str">
        <f>$A$3&amp;"_DI_CL"</f>
        <v>BXX_SLP1_DM1_DI_CL</v>
      </c>
      <c r="B8" s="4" t="str">
        <f>$A$3</f>
        <v>BXX_SLP1_DM1</v>
      </c>
      <c r="C8" s="4" t="str">
        <f>$C$3&amp;" Control Mode"</f>
        <v>BXX Pump 1 Control Mode</v>
      </c>
      <c r="D8" s="2">
        <f t="shared" ref="D8:D36" si="1">LEN(C8)</f>
        <v>23</v>
      </c>
      <c r="E8" t="s">
        <v>14</v>
      </c>
      <c r="F8" t="s">
        <v>13</v>
      </c>
      <c r="G8" s="5">
        <v>700</v>
      </c>
      <c r="H8" t="s">
        <v>13</v>
      </c>
      <c r="I8" t="s">
        <v>54</v>
      </c>
      <c r="J8" t="s">
        <v>175</v>
      </c>
      <c r="K8" t="s">
        <v>66</v>
      </c>
      <c r="L8" t="s">
        <v>56</v>
      </c>
      <c r="M8">
        <v>1</v>
      </c>
      <c r="N8" t="s">
        <v>57</v>
      </c>
      <c r="O8" s="4" t="str">
        <f>$O$7</f>
        <v>BXX</v>
      </c>
      <c r="P8" t="s">
        <v>14</v>
      </c>
      <c r="Q8" s="4" t="str">
        <f>$A$3&amp;".DI_CL.eng"</f>
        <v>BXX_SLP1_DM1.DI_CL.eng</v>
      </c>
      <c r="R8" t="s">
        <v>14</v>
      </c>
      <c r="S8" s="4" t="str">
        <f t="shared" si="0"/>
        <v>BXX Pump 1 Control Mode</v>
      </c>
      <c r="T8">
        <v>0</v>
      </c>
      <c r="U8">
        <v>0</v>
      </c>
    </row>
    <row r="9" spans="1:23" x14ac:dyDescent="0.25">
      <c r="A9" s="4" t="str">
        <f>$A$3&amp;"_DI_SS"</f>
        <v>BXX_SLP1_DM1_DI_SS</v>
      </c>
      <c r="B9" s="4" t="str">
        <f t="shared" ref="B9:B36" si="2">$A$3</f>
        <v>BXX_SLP1_DM1</v>
      </c>
      <c r="C9" s="4" t="str">
        <f>$C$3&amp;" Running Status"</f>
        <v>BXX Pump 1 Running Status</v>
      </c>
      <c r="D9" s="2">
        <f t="shared" si="1"/>
        <v>25</v>
      </c>
      <c r="E9" t="s">
        <v>13</v>
      </c>
      <c r="F9" t="s">
        <v>13</v>
      </c>
      <c r="G9" s="5">
        <v>700</v>
      </c>
      <c r="H9" t="s">
        <v>13</v>
      </c>
      <c r="I9" t="s">
        <v>54</v>
      </c>
      <c r="J9" t="s">
        <v>176</v>
      </c>
      <c r="K9" t="s">
        <v>177</v>
      </c>
      <c r="L9" t="s">
        <v>56</v>
      </c>
      <c r="M9">
        <v>1</v>
      </c>
      <c r="N9" t="s">
        <v>57</v>
      </c>
      <c r="O9" s="4" t="str">
        <f t="shared" ref="O9:O34" si="3">$O$7</f>
        <v>BXX</v>
      </c>
      <c r="P9" t="s">
        <v>14</v>
      </c>
      <c r="Q9" s="4" t="str">
        <f>$A$3&amp;".DI_SS.eng"</f>
        <v>BXX_SLP1_DM1.DI_SS.eng</v>
      </c>
      <c r="R9" t="s">
        <v>14</v>
      </c>
      <c r="S9" s="4" t="str">
        <f t="shared" si="0"/>
        <v>BXX Pump 1 Running Status</v>
      </c>
      <c r="T9">
        <v>0</v>
      </c>
      <c r="U9">
        <v>0</v>
      </c>
    </row>
    <row r="10" spans="1:23" x14ac:dyDescent="0.25">
      <c r="A10" s="4" t="str">
        <f>$A$3&amp;"_DA_ES"</f>
        <v>BXX_SLP1_DM1_DA_ES</v>
      </c>
      <c r="B10" s="4" t="str">
        <f t="shared" si="2"/>
        <v>BXX_SLP1_DM1</v>
      </c>
      <c r="C10" s="4" t="str">
        <f>$C$3&amp;" E-Stop"</f>
        <v>BXX Pump 1 E-Stop</v>
      </c>
      <c r="D10" s="2">
        <f t="shared" si="1"/>
        <v>17</v>
      </c>
      <c r="E10" t="s">
        <v>14</v>
      </c>
      <c r="F10" t="s">
        <v>14</v>
      </c>
      <c r="G10">
        <v>0</v>
      </c>
      <c r="H10" t="s">
        <v>13</v>
      </c>
      <c r="I10" t="s">
        <v>54</v>
      </c>
      <c r="J10" t="s">
        <v>62</v>
      </c>
      <c r="K10" t="s">
        <v>119</v>
      </c>
      <c r="L10" t="s">
        <v>61</v>
      </c>
      <c r="M10" s="5">
        <v>50</v>
      </c>
      <c r="N10" t="s">
        <v>57</v>
      </c>
      <c r="O10" s="4" t="str">
        <f t="shared" si="3"/>
        <v>BXX</v>
      </c>
      <c r="P10" t="s">
        <v>14</v>
      </c>
      <c r="Q10" s="4" t="str">
        <f>$A$3&amp;".DA_ES.eng"</f>
        <v>BXX_SLP1_DM1.DA_ES.eng</v>
      </c>
      <c r="R10" t="s">
        <v>14</v>
      </c>
      <c r="S10" s="4" t="str">
        <f t="shared" si="0"/>
        <v>BXX Pump 1 E-Stop</v>
      </c>
      <c r="T10">
        <v>0</v>
      </c>
      <c r="U10">
        <v>0</v>
      </c>
    </row>
    <row r="11" spans="1:23" x14ac:dyDescent="0.25">
      <c r="A11" s="4" t="str">
        <f>$A$3&amp;"_DA_RA"</f>
        <v>BXX_SLP1_DM1_DA_RA</v>
      </c>
      <c r="B11" s="4" t="str">
        <f t="shared" si="2"/>
        <v>BXX_SLP1_DM1</v>
      </c>
      <c r="C11" s="4" t="str">
        <f>$C$3&amp;" Overload"</f>
        <v>BXX Pump 1 Overload</v>
      </c>
      <c r="D11" s="2">
        <f t="shared" si="1"/>
        <v>19</v>
      </c>
      <c r="E11" t="s">
        <v>14</v>
      </c>
      <c r="F11" t="s">
        <v>14</v>
      </c>
      <c r="G11">
        <v>0</v>
      </c>
      <c r="H11" t="s">
        <v>13</v>
      </c>
      <c r="I11" t="s">
        <v>54</v>
      </c>
      <c r="J11" t="s">
        <v>62</v>
      </c>
      <c r="K11" t="s">
        <v>119</v>
      </c>
      <c r="L11" t="s">
        <v>61</v>
      </c>
      <c r="M11" s="5">
        <v>63</v>
      </c>
      <c r="N11" t="s">
        <v>57</v>
      </c>
      <c r="O11" s="4" t="str">
        <f t="shared" si="3"/>
        <v>BXX</v>
      </c>
      <c r="P11" t="s">
        <v>14</v>
      </c>
      <c r="Q11" s="4" t="str">
        <f>$A$3&amp;".DA_RA.eng"</f>
        <v>BXX_SLP1_DM1.DA_RA.eng</v>
      </c>
      <c r="R11" t="s">
        <v>14</v>
      </c>
      <c r="S11" s="4" t="str">
        <f t="shared" si="0"/>
        <v>BXX Pump 1 Overload</v>
      </c>
      <c r="T11">
        <v>0</v>
      </c>
      <c r="U11">
        <v>0</v>
      </c>
    </row>
    <row r="12" spans="1:23" x14ac:dyDescent="0.25">
      <c r="A12" s="4" t="str">
        <f>$A$3&amp;"_DA_DF"</f>
        <v>BXX_SLP1_DM1_DA_DF</v>
      </c>
      <c r="B12" s="4" t="str">
        <f t="shared" si="2"/>
        <v>BXX_SLP1_DM1</v>
      </c>
      <c r="C12" s="4" t="str">
        <f>$C$3&amp;" Not Ready"</f>
        <v>BXX Pump 1 Not Ready</v>
      </c>
      <c r="D12" s="2">
        <f t="shared" si="1"/>
        <v>20</v>
      </c>
      <c r="E12" t="s">
        <v>14</v>
      </c>
      <c r="F12" t="s">
        <v>14</v>
      </c>
      <c r="G12">
        <v>0</v>
      </c>
      <c r="H12" t="s">
        <v>13</v>
      </c>
      <c r="I12" t="s">
        <v>54</v>
      </c>
      <c r="J12" t="s">
        <v>62</v>
      </c>
      <c r="K12" t="s">
        <v>178</v>
      </c>
      <c r="L12" t="s">
        <v>61</v>
      </c>
      <c r="M12" s="5">
        <v>55</v>
      </c>
      <c r="N12" t="s">
        <v>57</v>
      </c>
      <c r="O12" s="4" t="str">
        <f t="shared" si="3"/>
        <v>BXX</v>
      </c>
      <c r="P12" t="s">
        <v>14</v>
      </c>
      <c r="Q12" s="4" t="str">
        <f>$A$3&amp;".DA_DF.eng"</f>
        <v>BXX_SLP1_DM1.DA_DF.eng</v>
      </c>
      <c r="R12" t="s">
        <v>14</v>
      </c>
      <c r="S12" s="4" t="str">
        <f t="shared" si="0"/>
        <v>BXX Pump 1 Not Ready</v>
      </c>
      <c r="T12">
        <v>0</v>
      </c>
      <c r="U12">
        <v>0</v>
      </c>
    </row>
    <row r="13" spans="1:23" x14ac:dyDescent="0.25">
      <c r="A13" s="4" t="str">
        <f>$A$3&amp;"_DA_GA"</f>
        <v>BXX_SLP1_DM1_DA_GA</v>
      </c>
      <c r="B13" s="4" t="str">
        <f t="shared" si="2"/>
        <v>BXX_SLP1_DM1</v>
      </c>
      <c r="C13" s="4" t="str">
        <f>$C$3&amp;" Soft Starter Fault"</f>
        <v>BXX Pump 1 Soft Starter Fault</v>
      </c>
      <c r="D13" s="2">
        <f t="shared" si="1"/>
        <v>29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J13" t="s">
        <v>62</v>
      </c>
      <c r="K13" t="s">
        <v>119</v>
      </c>
      <c r="L13" t="s">
        <v>61</v>
      </c>
      <c r="M13" s="5">
        <v>55</v>
      </c>
      <c r="N13" t="s">
        <v>57</v>
      </c>
      <c r="O13" s="4" t="str">
        <f t="shared" si="3"/>
        <v>BXX</v>
      </c>
      <c r="P13" t="s">
        <v>14</v>
      </c>
      <c r="Q13" s="4" t="str">
        <f>$A$3&amp;".DA_GA.eng"</f>
        <v>BXX_SLP1_DM1.DA_GA.eng</v>
      </c>
      <c r="R13" t="s">
        <v>14</v>
      </c>
      <c r="S13" s="4" t="str">
        <f t="shared" si="0"/>
        <v>BXX Pump 1 Soft Starter Fault</v>
      </c>
      <c r="T13">
        <v>0</v>
      </c>
      <c r="U13">
        <v>0</v>
      </c>
    </row>
    <row r="14" spans="1:23" x14ac:dyDescent="0.25">
      <c r="A14" s="4" t="str">
        <f>$A$3&amp;"_DA_TA"</f>
        <v>BXX_SLP1_DM1_DA_TA</v>
      </c>
      <c r="B14" s="4" t="str">
        <f t="shared" si="2"/>
        <v>BXX_SLP1_DM1</v>
      </c>
      <c r="C14" s="4" t="str">
        <f>$C$3&amp;" Temp/Leak Alarm"</f>
        <v>BXX Pump 1 Temp/Leak Alarm</v>
      </c>
      <c r="D14" s="2">
        <f t="shared" si="1"/>
        <v>26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58</v>
      </c>
      <c r="N14" t="s">
        <v>57</v>
      </c>
      <c r="O14" s="4" t="str">
        <f t="shared" si="3"/>
        <v>BXX</v>
      </c>
      <c r="P14" t="s">
        <v>14</v>
      </c>
      <c r="Q14" s="4" t="str">
        <f>$A$3&amp;".DA_TA.eng"</f>
        <v>BXX_SLP1_DM1.DA_TA.eng</v>
      </c>
      <c r="R14" t="s">
        <v>14</v>
      </c>
      <c r="S14" s="4" t="str">
        <f t="shared" si="0"/>
        <v>BXX Pump 1 Temp/Leak Alarm</v>
      </c>
      <c r="T14">
        <v>0</v>
      </c>
      <c r="U14">
        <v>0</v>
      </c>
    </row>
    <row r="15" spans="1:23" x14ac:dyDescent="0.25">
      <c r="A15" s="4" t="str">
        <f>$A$3&amp;"_DI_AA"</f>
        <v>BXX_SLP1_DM1_DI_AA</v>
      </c>
      <c r="B15" s="4" t="str">
        <f t="shared" si="2"/>
        <v>BXX_SLP1_DM1</v>
      </c>
      <c r="C15" s="4" t="str">
        <f>$C$3&amp;" Auto Mode"</f>
        <v>BXX Pump 1 Auto Mode</v>
      </c>
      <c r="D15" s="2">
        <f t="shared" si="1"/>
        <v>20</v>
      </c>
      <c r="E15" t="s">
        <v>14</v>
      </c>
      <c r="F15" t="s">
        <v>13</v>
      </c>
      <c r="G15" s="5">
        <v>700</v>
      </c>
      <c r="H15" t="s">
        <v>13</v>
      </c>
      <c r="I15" t="s">
        <v>54</v>
      </c>
      <c r="J15" t="s">
        <v>179</v>
      </c>
      <c r="K15" t="s">
        <v>180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$A$3&amp;".DI_AA"</f>
        <v>BXX_SLP1_DM1.DI_AA</v>
      </c>
      <c r="R15" t="s">
        <v>14</v>
      </c>
      <c r="S15" s="4" t="str">
        <f t="shared" si="0"/>
        <v>BXX Pump 1 Auto Mode</v>
      </c>
      <c r="T15">
        <v>0</v>
      </c>
      <c r="U15">
        <v>0</v>
      </c>
    </row>
    <row r="16" spans="1:23" x14ac:dyDescent="0.25">
      <c r="A16" s="4" t="str">
        <f>$A$3&amp;"_DI_PM"</f>
        <v>BXX_SLP1_DM1_DI_PM</v>
      </c>
      <c r="B16" s="4" t="str">
        <f t="shared" si="2"/>
        <v>BXX_SLP1_DM1</v>
      </c>
      <c r="C16" s="4" t="str">
        <f>$C$3&amp;" Plant Manual Mode"</f>
        <v>BXX Pump 1 Plant Manual Mode</v>
      </c>
      <c r="D16" s="2">
        <f t="shared" si="1"/>
        <v>28</v>
      </c>
      <c r="E16" t="s">
        <v>14</v>
      </c>
      <c r="F16" t="s">
        <v>13</v>
      </c>
      <c r="G16" s="5">
        <v>700</v>
      </c>
      <c r="H16" t="s">
        <v>13</v>
      </c>
      <c r="I16" t="s">
        <v>54</v>
      </c>
      <c r="J16" t="s">
        <v>180</v>
      </c>
      <c r="K16" t="s">
        <v>179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$A$3&amp;".DI_PM"</f>
        <v>BXX_SLP1_DM1.DI_PM</v>
      </c>
      <c r="R16" t="s">
        <v>14</v>
      </c>
      <c r="S16" s="4" t="str">
        <f t="shared" si="0"/>
        <v>BXX Pump 1 Plant Manual Mode</v>
      </c>
      <c r="T16">
        <v>0</v>
      </c>
      <c r="U16">
        <v>0</v>
      </c>
    </row>
    <row r="17" spans="1:21" x14ac:dyDescent="0.25">
      <c r="A17" s="4" t="str">
        <f>$A$3&amp;"_PB_PM"</f>
        <v>BXX_SLP1_DM1_PB_PM</v>
      </c>
      <c r="B17" s="4" t="str">
        <f t="shared" si="2"/>
        <v>BXX_SLP1_DM1</v>
      </c>
      <c r="C17" s="4" t="str">
        <f>$C$3&amp;" Plant Manual Mode RQ"</f>
        <v>BXX Pump 1 Plant Manual Mode RQ</v>
      </c>
      <c r="D17" s="2">
        <f t="shared" si="1"/>
        <v>31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62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$A$3&amp;".PB_PM"</f>
        <v>BXX_SLP1_DM1.PB_PM</v>
      </c>
      <c r="R17" t="s">
        <v>14</v>
      </c>
      <c r="S17" s="4" t="str">
        <f t="shared" si="0"/>
        <v>BXX Pump 1 Plant Manual Mode RQ</v>
      </c>
      <c r="T17">
        <v>0</v>
      </c>
      <c r="U17">
        <v>0</v>
      </c>
    </row>
    <row r="18" spans="1:21" x14ac:dyDescent="0.25">
      <c r="A18" s="4" t="str">
        <f>$A$3&amp;"_PB_PT"</f>
        <v>BXX_SLP1_DM1_PB_PT</v>
      </c>
      <c r="B18" s="4" t="str">
        <f t="shared" si="2"/>
        <v>BXX_SLP1_DM1</v>
      </c>
      <c r="C18" s="4" t="str">
        <f>$C$3&amp;" Plant Manual Start"</f>
        <v>BXX Pump 1 Plant Manual Start</v>
      </c>
      <c r="D18" s="2">
        <f t="shared" si="1"/>
        <v>29</v>
      </c>
      <c r="E18" t="s">
        <v>14</v>
      </c>
      <c r="F18" t="s">
        <v>13</v>
      </c>
      <c r="G18" s="5">
        <v>600</v>
      </c>
      <c r="H18" t="s">
        <v>13</v>
      </c>
      <c r="I18" t="s">
        <v>54</v>
      </c>
      <c r="J18" t="s">
        <v>62</v>
      </c>
      <c r="K18" t="s">
        <v>181</v>
      </c>
      <c r="L18" t="s">
        <v>56</v>
      </c>
      <c r="M18">
        <v>1</v>
      </c>
      <c r="N18" t="s">
        <v>57</v>
      </c>
      <c r="O18" s="4" t="str">
        <f t="shared" si="3"/>
        <v>BXX</v>
      </c>
      <c r="P18" t="s">
        <v>14</v>
      </c>
      <c r="Q18" s="4" t="str">
        <f>$A$3&amp;".PB_PT"</f>
        <v>BXX_SLP1_DM1.PB_PT</v>
      </c>
      <c r="R18" t="s">
        <v>14</v>
      </c>
      <c r="S18" s="4" t="str">
        <f t="shared" si="0"/>
        <v>BXX Pump 1 Plant Manual Start</v>
      </c>
      <c r="T18">
        <v>0</v>
      </c>
      <c r="U18">
        <v>0</v>
      </c>
    </row>
    <row r="19" spans="1:21" x14ac:dyDescent="0.25">
      <c r="A19" s="4" t="str">
        <f>$A$3&amp;"_PB_PP"</f>
        <v>BXX_SLP1_DM1_PB_PP</v>
      </c>
      <c r="B19" s="4" t="str">
        <f t="shared" si="2"/>
        <v>BXX_SLP1_DM1</v>
      </c>
      <c r="C19" s="4" t="str">
        <f>$C$3&amp;" Plant Manual Stop"</f>
        <v>BXX Pump 1 Plant Manual Stop</v>
      </c>
      <c r="D19" s="2">
        <f t="shared" si="1"/>
        <v>28</v>
      </c>
      <c r="E19" t="s">
        <v>14</v>
      </c>
      <c r="F19" t="s">
        <v>13</v>
      </c>
      <c r="G19" s="5">
        <v>600</v>
      </c>
      <c r="H19" t="s">
        <v>13</v>
      </c>
      <c r="I19" t="s">
        <v>54</v>
      </c>
      <c r="J19" t="s">
        <v>62</v>
      </c>
      <c r="K19" t="s">
        <v>182</v>
      </c>
      <c r="L19" t="s">
        <v>56</v>
      </c>
      <c r="M19">
        <v>1</v>
      </c>
      <c r="N19" t="s">
        <v>57</v>
      </c>
      <c r="O19" s="4" t="str">
        <f t="shared" si="3"/>
        <v>BXX</v>
      </c>
      <c r="P19" t="s">
        <v>14</v>
      </c>
      <c r="Q19" s="4" t="str">
        <f>$A$3&amp;".PB_PP"</f>
        <v>BXX_SLP1_DM1.PB_PP</v>
      </c>
      <c r="R19" t="s">
        <v>14</v>
      </c>
      <c r="S19" s="4" t="str">
        <f t="shared" si="0"/>
        <v>BXX Pump 1 Plant Manual Stop</v>
      </c>
      <c r="T19">
        <v>0</v>
      </c>
      <c r="U19">
        <v>0</v>
      </c>
    </row>
    <row r="20" spans="1:21" x14ac:dyDescent="0.25">
      <c r="A20" s="4" t="str">
        <f>$A$3&amp;"_PB_AR"</f>
        <v>BXX_SLP1_DM1_PB_AR</v>
      </c>
      <c r="B20" s="4" t="str">
        <f t="shared" si="2"/>
        <v>BXX_SLP1_DM1</v>
      </c>
      <c r="C20" s="4" t="str">
        <f>$C$3&amp;" Alarm Ack"</f>
        <v>BXX Pump 1 Alarm Ack</v>
      </c>
      <c r="D20" s="2">
        <f t="shared" si="1"/>
        <v>20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62</v>
      </c>
      <c r="K20" t="s">
        <v>183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$A$3&amp;".PB_AR"</f>
        <v>BXX_SLP1_DM1.PB_AR</v>
      </c>
      <c r="R20" t="s">
        <v>14</v>
      </c>
      <c r="S20" s="4" t="str">
        <f t="shared" si="0"/>
        <v>BXX Pump 1 Alarm Ack</v>
      </c>
      <c r="T20">
        <v>0</v>
      </c>
      <c r="U20">
        <v>0</v>
      </c>
    </row>
    <row r="21" spans="1:21" x14ac:dyDescent="0.25">
      <c r="A21" s="4" t="str">
        <f>$A$3&amp;"_PB_RT"</f>
        <v>BXX_SLP1_DM1_PB_RT</v>
      </c>
      <c r="B21" s="4" t="str">
        <f t="shared" si="2"/>
        <v>BXX_SLP1_DM1</v>
      </c>
      <c r="C21" s="4" t="str">
        <f>$C$3&amp;" Runtime Reset"</f>
        <v>BXX Pump 1 Runtime Reset</v>
      </c>
      <c r="D21" s="2">
        <f t="shared" si="1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62</v>
      </c>
      <c r="K21" t="s">
        <v>184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$A$3&amp;".PB_RT"</f>
        <v>BXX_SLP1_DM1.PB_RT</v>
      </c>
      <c r="R21" t="s">
        <v>14</v>
      </c>
      <c r="S21" s="4" t="str">
        <f t="shared" si="0"/>
        <v>BXX Pump 1 Runtime Reset</v>
      </c>
      <c r="T21">
        <v>0</v>
      </c>
      <c r="U21">
        <v>0</v>
      </c>
    </row>
    <row r="22" spans="1:21" x14ac:dyDescent="0.25">
      <c r="A22" s="4" t="str">
        <f>$A$3&amp;"_DA_SF"</f>
        <v>BXX_SLP1_DM1_DA_SF</v>
      </c>
      <c r="B22" s="4" t="str">
        <f t="shared" si="2"/>
        <v>BXX_SLP1_DM1</v>
      </c>
      <c r="C22" s="4" t="str">
        <f>$C$3&amp;" Failed To Start"</f>
        <v>BXX Pump 1 Failed To Start</v>
      </c>
      <c r="D22" s="2">
        <f t="shared" si="1"/>
        <v>26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62</v>
      </c>
      <c r="K22" t="s">
        <v>119</v>
      </c>
      <c r="L22" t="s">
        <v>61</v>
      </c>
      <c r="M22" s="5">
        <v>51</v>
      </c>
      <c r="N22" t="s">
        <v>57</v>
      </c>
      <c r="O22" s="4" t="str">
        <f t="shared" si="3"/>
        <v>BXX</v>
      </c>
      <c r="P22" t="s">
        <v>14</v>
      </c>
      <c r="Q22" s="4" t="str">
        <f>$A$3&amp;".DA_SF"</f>
        <v>BXX_SLP1_DM1.DA_SF</v>
      </c>
      <c r="R22" t="s">
        <v>14</v>
      </c>
      <c r="S22" s="4" t="str">
        <f t="shared" si="0"/>
        <v>BXX Pump 1 Failed To Start</v>
      </c>
      <c r="T22">
        <v>0</v>
      </c>
      <c r="U22">
        <v>0</v>
      </c>
    </row>
    <row r="23" spans="1:21" x14ac:dyDescent="0.25">
      <c r="A23" s="4" t="str">
        <f>$A$3&amp;"_DA_XF"</f>
        <v>BXX_SLP1_DM1_DA_XF</v>
      </c>
      <c r="B23" s="4" t="str">
        <f t="shared" si="2"/>
        <v>BXX_SLP1_DM1</v>
      </c>
      <c r="C23" s="4" t="str">
        <f>$C$3&amp;" Failed To Stop"</f>
        <v>BXX Pump 1 Failed To Stop</v>
      </c>
      <c r="D23" s="2">
        <f t="shared" si="1"/>
        <v>25</v>
      </c>
      <c r="E23" t="s">
        <v>14</v>
      </c>
      <c r="F23" t="s">
        <v>14</v>
      </c>
      <c r="G23">
        <v>0</v>
      </c>
      <c r="H23" t="s">
        <v>13</v>
      </c>
      <c r="I23" t="s">
        <v>54</v>
      </c>
      <c r="J23" t="s">
        <v>62</v>
      </c>
      <c r="K23" t="s">
        <v>119</v>
      </c>
      <c r="L23" t="s">
        <v>61</v>
      </c>
      <c r="M23" s="5">
        <v>52</v>
      </c>
      <c r="N23" t="s">
        <v>57</v>
      </c>
      <c r="O23" s="4" t="str">
        <f t="shared" si="3"/>
        <v>BXX</v>
      </c>
      <c r="P23" t="s">
        <v>14</v>
      </c>
      <c r="Q23" s="4" t="str">
        <f>$A$3&amp;".DA_XF"</f>
        <v>BXX_SLP1_DM1.DA_XF</v>
      </c>
      <c r="R23" t="s">
        <v>14</v>
      </c>
      <c r="S23" s="4" t="str">
        <f t="shared" si="0"/>
        <v>BXX Pump 1 Failed To Stop</v>
      </c>
      <c r="T23">
        <v>0</v>
      </c>
      <c r="U23">
        <v>0</v>
      </c>
    </row>
    <row r="24" spans="1:21" x14ac:dyDescent="0.25">
      <c r="A24" s="4" t="str">
        <f>$A$3&amp;"_DA_SU"</f>
        <v>BXX_SLP1_DM1_DA_SU</v>
      </c>
      <c r="B24" s="4" t="str">
        <f t="shared" si="2"/>
        <v>BXX_SLP1_DM1</v>
      </c>
      <c r="C24" s="4" t="str">
        <f>$C$3&amp;" Uncommanded Start"</f>
        <v>BXX Pump 1 Uncommanded Start</v>
      </c>
      <c r="D24" s="2">
        <f t="shared" si="1"/>
        <v>28</v>
      </c>
      <c r="E24" t="s">
        <v>14</v>
      </c>
      <c r="F24" t="s">
        <v>14</v>
      </c>
      <c r="G24">
        <v>0</v>
      </c>
      <c r="H24" t="s">
        <v>13</v>
      </c>
      <c r="I24" t="s">
        <v>54</v>
      </c>
      <c r="J24" t="s">
        <v>62</v>
      </c>
      <c r="K24" t="s">
        <v>119</v>
      </c>
      <c r="L24" t="s">
        <v>61</v>
      </c>
      <c r="M24" s="5">
        <v>53</v>
      </c>
      <c r="N24" t="s">
        <v>57</v>
      </c>
      <c r="O24" s="4" t="str">
        <f t="shared" si="3"/>
        <v>BXX</v>
      </c>
      <c r="P24" t="s">
        <v>14</v>
      </c>
      <c r="Q24" s="4" t="str">
        <f>$A$3&amp;".DA_SU"</f>
        <v>BXX_SLP1_DM1.DA_SU</v>
      </c>
      <c r="R24" t="s">
        <v>14</v>
      </c>
      <c r="S24" s="4" t="str">
        <f t="shared" si="0"/>
        <v>BXX Pump 1 Uncommanded Start</v>
      </c>
      <c r="T24">
        <v>0</v>
      </c>
      <c r="U24">
        <v>0</v>
      </c>
    </row>
    <row r="25" spans="1:21" x14ac:dyDescent="0.25">
      <c r="A25" s="4" t="str">
        <f>$A$3&amp;"_DA_XU"</f>
        <v>BXX_SLP1_DM1_DA_XU</v>
      </c>
      <c r="B25" s="4" t="str">
        <f t="shared" si="2"/>
        <v>BXX_SLP1_DM1</v>
      </c>
      <c r="C25" s="4" t="str">
        <f>$C$3&amp;" Uncommanded Stop"</f>
        <v>BXX Pump 1 Uncommanded Stop</v>
      </c>
      <c r="D25" s="2">
        <f t="shared" si="1"/>
        <v>27</v>
      </c>
      <c r="E25" t="s">
        <v>14</v>
      </c>
      <c r="F25" t="s">
        <v>14</v>
      </c>
      <c r="G25">
        <v>0</v>
      </c>
      <c r="H25" t="s">
        <v>13</v>
      </c>
      <c r="I25" t="s">
        <v>54</v>
      </c>
      <c r="J25" t="s">
        <v>62</v>
      </c>
      <c r="K25" t="s">
        <v>119</v>
      </c>
      <c r="L25" t="s">
        <v>61</v>
      </c>
      <c r="M25" s="5">
        <v>54</v>
      </c>
      <c r="N25" t="s">
        <v>57</v>
      </c>
      <c r="O25" s="4" t="str">
        <f t="shared" si="3"/>
        <v>BXX</v>
      </c>
      <c r="P25" t="s">
        <v>14</v>
      </c>
      <c r="Q25" s="4" t="str">
        <f>$A$3&amp;".DA_XU"</f>
        <v>BXX_SLP1_DM1.DA_XU</v>
      </c>
      <c r="R25" t="s">
        <v>14</v>
      </c>
      <c r="S25" s="4" t="str">
        <f t="shared" si="0"/>
        <v>BXX Pump 1 Uncommanded Stop</v>
      </c>
      <c r="T25">
        <v>0</v>
      </c>
      <c r="U25">
        <v>0</v>
      </c>
    </row>
    <row r="26" spans="1:21" x14ac:dyDescent="0.25">
      <c r="A26" s="4" t="str">
        <f>$A$3&amp;"_DI_BP"</f>
        <v>BXX_SLP1_DM1_DI_BP</v>
      </c>
      <c r="B26" s="4" t="str">
        <f t="shared" si="2"/>
        <v>BXX_SLP1_DM1</v>
      </c>
      <c r="C26" s="4" t="str">
        <f>$C$3&amp;" Bypass Mode"</f>
        <v>BXX Pump 1 Bypass Mode</v>
      </c>
      <c r="D26" s="2">
        <f t="shared" si="1"/>
        <v>22</v>
      </c>
      <c r="E26" t="s">
        <v>14</v>
      </c>
      <c r="F26" t="s">
        <v>13</v>
      </c>
      <c r="G26" s="5">
        <v>700</v>
      </c>
      <c r="H26" t="s">
        <v>13</v>
      </c>
      <c r="I26" t="s">
        <v>54</v>
      </c>
      <c r="J26" t="s">
        <v>62</v>
      </c>
      <c r="K26" t="s">
        <v>185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$A$3&amp;".DI_BP.eng"</f>
        <v>BXX_SLP1_DM1.DI_BP.eng</v>
      </c>
      <c r="R26" t="s">
        <v>14</v>
      </c>
      <c r="S26" s="4" t="str">
        <f t="shared" si="0"/>
        <v>BXX Pump 1 Bypass Mode</v>
      </c>
      <c r="T26">
        <v>0</v>
      </c>
      <c r="U26">
        <v>0</v>
      </c>
    </row>
    <row r="27" spans="1:21" x14ac:dyDescent="0.25">
      <c r="A27" s="4" t="str">
        <f>$A$3&amp;"_DI_ST"</f>
        <v>BXX_SLP1_DM1_DI_ST</v>
      </c>
      <c r="B27" s="4" t="str">
        <f t="shared" si="2"/>
        <v>BXX_SLP1_DM1</v>
      </c>
      <c r="C27" s="4" t="str">
        <f>$C$3&amp;" Hardwired Start"</f>
        <v>BXX Pump 1 Hardwired Start</v>
      </c>
      <c r="D27" s="2">
        <f t="shared" si="1"/>
        <v>26</v>
      </c>
      <c r="E27" t="s">
        <v>14</v>
      </c>
      <c r="F27" t="s">
        <v>13</v>
      </c>
      <c r="G27" s="5">
        <v>700</v>
      </c>
      <c r="H27" t="s">
        <v>13</v>
      </c>
      <c r="I27" t="s">
        <v>54</v>
      </c>
      <c r="J27" t="s">
        <v>62</v>
      </c>
      <c r="K27" t="s">
        <v>61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$A$3&amp;".DI_ST.eng"</f>
        <v>BXX_SLP1_DM1.DI_ST.eng</v>
      </c>
      <c r="R27" t="s">
        <v>14</v>
      </c>
      <c r="S27" s="4" t="str">
        <f t="shared" si="0"/>
        <v>BXX Pump 1 Hardwired Start</v>
      </c>
      <c r="T27">
        <v>0</v>
      </c>
      <c r="U27">
        <v>0</v>
      </c>
    </row>
    <row r="28" spans="1:21" x14ac:dyDescent="0.25">
      <c r="A28" s="4" t="str">
        <f>$A$3&amp;"_DI_SP"</f>
        <v>BXX_SLP1_DM1_DI_SP</v>
      </c>
      <c r="B28" s="4" t="str">
        <f t="shared" si="2"/>
        <v>BXX_SLP1_DM1</v>
      </c>
      <c r="C28" s="4" t="str">
        <f>$C$3&amp;" Hardwired Stop"</f>
        <v>BXX Pump 1 Hardwired Stop</v>
      </c>
      <c r="D28" s="2">
        <f t="shared" si="1"/>
        <v>25</v>
      </c>
      <c r="E28" t="s">
        <v>14</v>
      </c>
      <c r="F28" t="s">
        <v>13</v>
      </c>
      <c r="G28" s="5">
        <v>700</v>
      </c>
      <c r="H28" t="s">
        <v>13</v>
      </c>
      <c r="I28" t="s">
        <v>54</v>
      </c>
      <c r="J28" t="s">
        <v>62</v>
      </c>
      <c r="K28" t="s">
        <v>61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$A$3&amp;".DI_SP.eng"</f>
        <v>BXX_SLP1_DM1.DI_SP.eng</v>
      </c>
      <c r="R28" t="s">
        <v>14</v>
      </c>
      <c r="S28" s="4" t="str">
        <f t="shared" si="0"/>
        <v>BXX Pump 1 Hardwired Stop</v>
      </c>
      <c r="T28">
        <v>0</v>
      </c>
      <c r="U28">
        <v>0</v>
      </c>
    </row>
    <row r="29" spans="1:21" x14ac:dyDescent="0.25">
      <c r="A29" s="4" t="str">
        <f>$A$3&amp;"_PB_SU"</f>
        <v>BXX_SLP1_DM1_PB_SU</v>
      </c>
      <c r="B29" s="4" t="str">
        <f t="shared" si="2"/>
        <v>BXX_SLP1_DM1</v>
      </c>
      <c r="C29" s="4" t="str">
        <f>$C$3&amp;" Uncomm Start Alarm En"</f>
        <v>BXX Pump 1 Uncomm Start Alarm En</v>
      </c>
      <c r="D29" s="2">
        <f t="shared" si="1"/>
        <v>32</v>
      </c>
      <c r="E29" t="s">
        <v>14</v>
      </c>
      <c r="F29" t="s">
        <v>13</v>
      </c>
      <c r="G29" s="5">
        <v>600</v>
      </c>
      <c r="H29" t="s">
        <v>13</v>
      </c>
      <c r="I29" t="s">
        <v>54</v>
      </c>
      <c r="J29" t="s">
        <v>60</v>
      </c>
      <c r="K29" t="s">
        <v>59</v>
      </c>
      <c r="L29" t="s">
        <v>56</v>
      </c>
      <c r="M29" s="5">
        <v>1</v>
      </c>
      <c r="N29" t="s">
        <v>57</v>
      </c>
      <c r="O29" s="4" t="str">
        <f t="shared" si="3"/>
        <v>BXX</v>
      </c>
      <c r="P29" t="s">
        <v>14</v>
      </c>
      <c r="Q29" s="4" t="str">
        <f>$A$3&amp;".PB_SU.RE"</f>
        <v>BXX_SLP1_DM1.PB_SU.RE</v>
      </c>
      <c r="R29" t="s">
        <v>14</v>
      </c>
      <c r="S29" s="4" t="str">
        <f t="shared" si="0"/>
        <v>BXX Pump 1 Uncomm Start Alarm En</v>
      </c>
      <c r="T29">
        <v>0</v>
      </c>
      <c r="U29">
        <v>0</v>
      </c>
    </row>
    <row r="30" spans="1:21" x14ac:dyDescent="0.25">
      <c r="A30" s="4" t="str">
        <f>$A$3&amp;"_PB_SF"</f>
        <v>BXX_SLP1_DM1_PB_SF</v>
      </c>
      <c r="B30" s="4" t="str">
        <f t="shared" si="2"/>
        <v>BXX_SLP1_DM1</v>
      </c>
      <c r="C30" s="4" t="str">
        <f>$C$3&amp;" Failed To Start Alarm En"</f>
        <v>BXX Pump 1 Failed To Start Alarm En</v>
      </c>
      <c r="D30" s="2">
        <f t="shared" si="1"/>
        <v>35</v>
      </c>
      <c r="E30" t="s">
        <v>14</v>
      </c>
      <c r="F30" t="s">
        <v>13</v>
      </c>
      <c r="G30" s="5">
        <v>600</v>
      </c>
      <c r="H30" t="s">
        <v>13</v>
      </c>
      <c r="I30" t="s">
        <v>54</v>
      </c>
      <c r="J30" t="s">
        <v>60</v>
      </c>
      <c r="K30" t="s">
        <v>59</v>
      </c>
      <c r="L30" t="s">
        <v>56</v>
      </c>
      <c r="M30" s="5">
        <v>1</v>
      </c>
      <c r="N30" t="s">
        <v>57</v>
      </c>
      <c r="O30" s="4" t="str">
        <f t="shared" si="3"/>
        <v>BXX</v>
      </c>
      <c r="P30" t="s">
        <v>14</v>
      </c>
      <c r="Q30" s="4" t="str">
        <f>$A$3&amp;".PB_SF.RE"</f>
        <v>BXX_SLP1_DM1.PB_SF.RE</v>
      </c>
      <c r="R30" t="s">
        <v>14</v>
      </c>
      <c r="S30" s="4" t="str">
        <f t="shared" si="0"/>
        <v>BXX Pump 1 Failed To Start Alarm En</v>
      </c>
      <c r="T30">
        <v>0</v>
      </c>
      <c r="U30">
        <v>0</v>
      </c>
    </row>
    <row r="31" spans="1:21" x14ac:dyDescent="0.25">
      <c r="A31" s="4" t="str">
        <f>$A$3&amp;"_PB_XF"</f>
        <v>BXX_SLP1_DM1_PB_XF</v>
      </c>
      <c r="B31" s="4" t="str">
        <f t="shared" si="2"/>
        <v>BXX_SLP1_DM1</v>
      </c>
      <c r="C31" s="4" t="str">
        <f>$C$3&amp;" Failed To Stop Alarm En"</f>
        <v>BXX Pump 1 Failed To Stop Alarm En</v>
      </c>
      <c r="D31" s="2">
        <f t="shared" si="1"/>
        <v>34</v>
      </c>
      <c r="E31" t="s">
        <v>14</v>
      </c>
      <c r="F31" t="s">
        <v>13</v>
      </c>
      <c r="G31" s="5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 s="5">
        <v>1</v>
      </c>
      <c r="N31" t="s">
        <v>57</v>
      </c>
      <c r="O31" s="4" t="str">
        <f t="shared" si="3"/>
        <v>BXX</v>
      </c>
      <c r="P31" t="s">
        <v>14</v>
      </c>
      <c r="Q31" s="4" t="str">
        <f>$A$3&amp;".PB_XF.RE"</f>
        <v>BXX_SLP1_DM1.PB_XF.RE</v>
      </c>
      <c r="R31" t="s">
        <v>14</v>
      </c>
      <c r="S31" s="4" t="str">
        <f t="shared" si="0"/>
        <v>BXX Pump 1 Failed To Stop Alarm En</v>
      </c>
      <c r="T31">
        <v>0</v>
      </c>
      <c r="U31">
        <v>0</v>
      </c>
    </row>
    <row r="32" spans="1:21" x14ac:dyDescent="0.25">
      <c r="A32" s="4" t="str">
        <f>$A$3&amp;"_PB_XU"</f>
        <v>BXX_SLP1_DM1_PB_XU</v>
      </c>
      <c r="B32" s="4" t="str">
        <f t="shared" si="2"/>
        <v>BXX_SLP1_DM1</v>
      </c>
      <c r="C32" s="4" t="str">
        <f>$C$3&amp;" Uncomm. Stop Alarm En"</f>
        <v>BXX Pump 1 Uncomm. Stop Alarm En</v>
      </c>
      <c r="D32" s="2">
        <f t="shared" si="1"/>
        <v>32</v>
      </c>
      <c r="E32" t="s">
        <v>14</v>
      </c>
      <c r="F32" t="s">
        <v>13</v>
      </c>
      <c r="G32" s="5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 s="5">
        <v>1</v>
      </c>
      <c r="N32" t="s">
        <v>57</v>
      </c>
      <c r="O32" s="4" t="str">
        <f t="shared" si="3"/>
        <v>BXX</v>
      </c>
      <c r="P32" t="s">
        <v>14</v>
      </c>
      <c r="Q32" s="4" t="str">
        <f>$A$3&amp;".PB_XU.RE"</f>
        <v>BXX_SLP1_DM1.PB_XU.RE</v>
      </c>
      <c r="R32" t="s">
        <v>14</v>
      </c>
      <c r="S32" s="4" t="str">
        <f t="shared" si="0"/>
        <v>BXX Pump 1 Uncomm. Stop Alarm En</v>
      </c>
      <c r="T32">
        <v>0</v>
      </c>
      <c r="U32">
        <v>0</v>
      </c>
    </row>
    <row r="33" spans="1:21" x14ac:dyDescent="0.25">
      <c r="A33" s="4" t="str">
        <f>$A$3&amp;"_PB_SM"</f>
        <v>BXX_SLP1_DM1_PB_SM</v>
      </c>
      <c r="B33" s="4" t="str">
        <f t="shared" si="2"/>
        <v>BXX_SLP1_DM1</v>
      </c>
      <c r="C33" s="4" t="str">
        <f>$C$3&amp;" Simulate Alarms PB"</f>
        <v>BXX Pump 1 Simulate Alarms PB</v>
      </c>
      <c r="D33" s="2">
        <f t="shared" si="1"/>
        <v>29</v>
      </c>
      <c r="E33" t="s">
        <v>14</v>
      </c>
      <c r="F33" t="s">
        <v>13</v>
      </c>
      <c r="G33" s="5">
        <v>600</v>
      </c>
      <c r="H33" t="s">
        <v>13</v>
      </c>
      <c r="I33" t="s">
        <v>54</v>
      </c>
      <c r="J33" t="s">
        <v>54</v>
      </c>
      <c r="K33" t="s">
        <v>61</v>
      </c>
      <c r="L33" t="s">
        <v>56</v>
      </c>
      <c r="M33" s="5">
        <v>1</v>
      </c>
      <c r="N33" t="s">
        <v>57</v>
      </c>
      <c r="O33" s="4" t="str">
        <f t="shared" si="3"/>
        <v>BXX</v>
      </c>
      <c r="P33" t="s">
        <v>14</v>
      </c>
      <c r="Q33" s="4" t="str">
        <f>$A$3&amp;".PB_SM"</f>
        <v>BXX_SLP1_DM1.PB_SM</v>
      </c>
      <c r="R33" t="s">
        <v>14</v>
      </c>
      <c r="S33" s="4" t="str">
        <f t="shared" si="0"/>
        <v>BXX Pump 1 Simulate Alarms PB</v>
      </c>
      <c r="T33">
        <v>0</v>
      </c>
      <c r="U33">
        <v>0</v>
      </c>
    </row>
    <row r="34" spans="1:21" x14ac:dyDescent="0.25">
      <c r="A34" s="4" t="str">
        <f>$A$3&amp;"_PB_AE"</f>
        <v>BXX_SLP1_DM1_PB_AE</v>
      </c>
      <c r="B34" s="4" t="str">
        <f t="shared" si="2"/>
        <v>BXX_SLP1_DM1</v>
      </c>
      <c r="C34" s="4" t="str">
        <f>$C$3&amp;" Alarm Enable"</f>
        <v>BXX Pump 1 Alarm Enable</v>
      </c>
      <c r="D34" s="2">
        <f t="shared" si="1"/>
        <v>23</v>
      </c>
      <c r="E34" t="s">
        <v>14</v>
      </c>
      <c r="F34" t="s">
        <v>13</v>
      </c>
      <c r="G34" s="5">
        <v>600</v>
      </c>
      <c r="H34" t="s">
        <v>13</v>
      </c>
      <c r="I34" t="s">
        <v>54</v>
      </c>
      <c r="J34" t="s">
        <v>60</v>
      </c>
      <c r="K34" t="s">
        <v>59</v>
      </c>
      <c r="L34" t="s">
        <v>56</v>
      </c>
      <c r="M34">
        <v>1</v>
      </c>
      <c r="N34" t="s">
        <v>57</v>
      </c>
      <c r="O34" s="4" t="str">
        <f t="shared" si="3"/>
        <v>BXX</v>
      </c>
      <c r="P34" t="s">
        <v>14</v>
      </c>
      <c r="Q34" s="4" t="str">
        <f>$A$3&amp;".PB_AE.RE"</f>
        <v>BXX_SLP1_DM1.PB_AE.RE</v>
      </c>
      <c r="R34" t="s">
        <v>14</v>
      </c>
      <c r="S34" s="4" t="str">
        <f t="shared" si="0"/>
        <v>BXX Pump 1 Alarm Enable</v>
      </c>
      <c r="T34">
        <v>0</v>
      </c>
      <c r="U34">
        <v>0</v>
      </c>
    </row>
    <row r="35" spans="1:21" x14ac:dyDescent="0.25">
      <c r="A35" s="4" t="str">
        <f>$A$3&amp;"_PB_AE_DE"</f>
        <v>BXX_SLP1_DM1_PB_AE_DE</v>
      </c>
      <c r="B35" s="4" t="str">
        <f t="shared" si="2"/>
        <v>BXX_SLP1_DM1</v>
      </c>
      <c r="C35" s="4" t="str">
        <f>$C$3 &amp; " Alarms Dialer Enable"</f>
        <v>BXX Pump 1 Alarms Dialer Enable</v>
      </c>
      <c r="D35" s="2">
        <f t="shared" si="1"/>
        <v>31</v>
      </c>
      <c r="E35" t="s">
        <v>14</v>
      </c>
      <c r="F35" t="s">
        <v>13</v>
      </c>
      <c r="G35" s="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>
        <v>1</v>
      </c>
      <c r="N35" t="s">
        <v>57</v>
      </c>
      <c r="O35" s="4" t="str">
        <f t="shared" ref="O35:O36" si="4">$O$8</f>
        <v>BXX</v>
      </c>
      <c r="P35" t="s">
        <v>14</v>
      </c>
      <c r="Q35" s="4" t="str">
        <f>$A$3&amp;".PB_AE.DE"</f>
        <v>BXX_SLP1_DM1.PB_AE.DE</v>
      </c>
      <c r="R35" t="s">
        <v>14</v>
      </c>
      <c r="S35" s="4" t="str">
        <f t="shared" si="0"/>
        <v>BXX Pump 1 Alarms Dialer Enable</v>
      </c>
      <c r="T35">
        <v>0</v>
      </c>
      <c r="U35">
        <v>0</v>
      </c>
    </row>
    <row r="36" spans="1:21" x14ac:dyDescent="0.25">
      <c r="A36" s="4" t="str">
        <f>$A$3&amp;"_PB_AE_SR"</f>
        <v>BXX_SLP1_DM1_PB_AE_SR</v>
      </c>
      <c r="B36" s="4" t="str">
        <f t="shared" si="2"/>
        <v>BXX_SLP1_DM1</v>
      </c>
      <c r="C36" s="4" t="str">
        <f>$C$3 &amp; " Alarms Sup Enable"</f>
        <v>BXX Pump 1 Alarms Sup Enable</v>
      </c>
      <c r="D36" s="2">
        <f t="shared" si="1"/>
        <v>28</v>
      </c>
      <c r="E36" t="s">
        <v>14</v>
      </c>
      <c r="F36" t="s">
        <v>13</v>
      </c>
      <c r="G36" s="5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>
        <v>1</v>
      </c>
      <c r="N36" t="s">
        <v>57</v>
      </c>
      <c r="O36" s="4" t="str">
        <f t="shared" si="4"/>
        <v>BXX</v>
      </c>
      <c r="P36" t="s">
        <v>14</v>
      </c>
      <c r="Q36" s="4" t="str">
        <f>$A$3&amp;".PB_AE.SR"</f>
        <v>BXX_SLP1_DM1.PB_AE.SR</v>
      </c>
      <c r="R36" t="s">
        <v>14</v>
      </c>
      <c r="S36" s="4" t="str">
        <f t="shared" si="0"/>
        <v>BXX Pump 1 Alarms Sup Enable</v>
      </c>
      <c r="T36">
        <v>0</v>
      </c>
      <c r="U36">
        <v>0</v>
      </c>
    </row>
    <row r="37" spans="1:21" x14ac:dyDescent="0.25">
      <c r="A37" s="4" t="str">
        <f>$A$3&amp;"_PB_ES_RE"</f>
        <v>BXX_SLP1_DM1_PB_ES_RE</v>
      </c>
      <c r="B37" s="4" t="str">
        <f t="shared" ref="B37:B52" si="5">$A$3</f>
        <v>BXX_SLP1_DM1</v>
      </c>
      <c r="C37" s="4" t="str">
        <f>$C$3&amp;" E-Stop Enable"</f>
        <v>BXX Pump 1 E-Stop Enable</v>
      </c>
      <c r="D37" s="2">
        <f t="shared" ref="D37:D52" si="6">LEN(C37)</f>
        <v>24</v>
      </c>
      <c r="E37" t="s">
        <v>14</v>
      </c>
      <c r="F37" t="s">
        <v>13</v>
      </c>
      <c r="G37" s="5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>
        <v>1</v>
      </c>
      <c r="N37" t="s">
        <v>57</v>
      </c>
      <c r="O37" s="4" t="str">
        <f t="shared" ref="O37:O52" si="7">$O$7</f>
        <v>BXX</v>
      </c>
      <c r="P37" t="s">
        <v>14</v>
      </c>
      <c r="Q37" s="4" t="str">
        <f>$A$3&amp;".DA_ES.RE"</f>
        <v>BXX_SLP1_DM1.DA_ES.RE</v>
      </c>
      <c r="R37" t="s">
        <v>14</v>
      </c>
      <c r="S37" s="4" t="str">
        <f t="shared" ref="S37:S52" si="8">C37</f>
        <v>BXX Pump 1 E-Stop Enable</v>
      </c>
      <c r="T37">
        <v>0</v>
      </c>
      <c r="U37">
        <v>0</v>
      </c>
    </row>
    <row r="38" spans="1:21" x14ac:dyDescent="0.25">
      <c r="A38" s="4" t="str">
        <f>$A$3&amp;"_PB_RA_RE"</f>
        <v>BXX_SLP1_DM1_PB_RA_RE</v>
      </c>
      <c r="B38" s="4" t="str">
        <f t="shared" si="5"/>
        <v>BXX_SLP1_DM1</v>
      </c>
      <c r="C38" s="4" t="str">
        <f>$C$3&amp;" Overload Enable"</f>
        <v>BXX Pump 1 Overload Enable</v>
      </c>
      <c r="D38" s="2">
        <f t="shared" si="6"/>
        <v>26</v>
      </c>
      <c r="E38" t="s">
        <v>14</v>
      </c>
      <c r="F38" t="s">
        <v>13</v>
      </c>
      <c r="G38" s="5">
        <v>600</v>
      </c>
      <c r="H38" t="s">
        <v>13</v>
      </c>
      <c r="I38" t="s">
        <v>54</v>
      </c>
      <c r="J38" t="s">
        <v>60</v>
      </c>
      <c r="K38" t="s">
        <v>59</v>
      </c>
      <c r="L38" t="s">
        <v>56</v>
      </c>
      <c r="M38">
        <v>1</v>
      </c>
      <c r="N38" t="s">
        <v>57</v>
      </c>
      <c r="O38" s="4" t="str">
        <f t="shared" si="7"/>
        <v>BXX</v>
      </c>
      <c r="P38" t="s">
        <v>14</v>
      </c>
      <c r="Q38" s="4" t="str">
        <f>$A$3&amp;".DA_RA.RE"</f>
        <v>BXX_SLP1_DM1.DA_RA.RE</v>
      </c>
      <c r="R38" t="s">
        <v>14</v>
      </c>
      <c r="S38" s="4" t="str">
        <f t="shared" si="8"/>
        <v>BXX Pump 1 Overload Enable</v>
      </c>
      <c r="T38">
        <v>0</v>
      </c>
      <c r="U38">
        <v>0</v>
      </c>
    </row>
    <row r="39" spans="1:21" x14ac:dyDescent="0.25">
      <c r="A39" s="4" t="str">
        <f>$A$3&amp;"_PB_DF_RE"</f>
        <v>BXX_SLP1_DM1_PB_DF_RE</v>
      </c>
      <c r="B39" s="4" t="str">
        <f t="shared" si="5"/>
        <v>BXX_SLP1_DM1</v>
      </c>
      <c r="C39" s="4" t="str">
        <f>$C$3&amp;" Not Ready Enable"</f>
        <v>BXX Pump 1 Not Ready Enable</v>
      </c>
      <c r="D39" s="2">
        <f t="shared" si="6"/>
        <v>27</v>
      </c>
      <c r="E39" t="s">
        <v>14</v>
      </c>
      <c r="F39" t="s">
        <v>13</v>
      </c>
      <c r="G39" s="5">
        <v>600</v>
      </c>
      <c r="H39" t="s">
        <v>13</v>
      </c>
      <c r="I39" t="s">
        <v>54</v>
      </c>
      <c r="J39" t="s">
        <v>60</v>
      </c>
      <c r="K39" t="s">
        <v>59</v>
      </c>
      <c r="L39" t="s">
        <v>56</v>
      </c>
      <c r="M39">
        <v>1</v>
      </c>
      <c r="N39" t="s">
        <v>57</v>
      </c>
      <c r="O39" s="4" t="str">
        <f t="shared" si="7"/>
        <v>BXX</v>
      </c>
      <c r="P39" t="s">
        <v>14</v>
      </c>
      <c r="Q39" s="4" t="str">
        <f>$A$3&amp;".DA_DF.RE"</f>
        <v>BXX_SLP1_DM1.DA_DF.RE</v>
      </c>
      <c r="R39" t="s">
        <v>14</v>
      </c>
      <c r="S39" s="4" t="str">
        <f t="shared" si="8"/>
        <v>BXX Pump 1 Not Ready Enable</v>
      </c>
      <c r="T39">
        <v>0</v>
      </c>
      <c r="U39">
        <v>0</v>
      </c>
    </row>
    <row r="40" spans="1:21" x14ac:dyDescent="0.25">
      <c r="A40" s="4" t="str">
        <f>$A$3&amp;"_PB_GA_RE"</f>
        <v>BXX_SLP1_DM1_PB_GA_RE</v>
      </c>
      <c r="B40" s="4" t="str">
        <f t="shared" si="5"/>
        <v>BXX_SLP1_DM1</v>
      </c>
      <c r="C40" s="4" t="str">
        <f>$C$3&amp;" Soft Starter Fault Enable"</f>
        <v>BXX Pump 1 Soft Starter Fault Enable</v>
      </c>
      <c r="D40" s="2">
        <f t="shared" si="6"/>
        <v>36</v>
      </c>
      <c r="E40" t="s">
        <v>14</v>
      </c>
      <c r="F40" t="s">
        <v>13</v>
      </c>
      <c r="G40" s="5">
        <v>600</v>
      </c>
      <c r="H40" t="s">
        <v>13</v>
      </c>
      <c r="I40" t="s">
        <v>54</v>
      </c>
      <c r="J40" t="s">
        <v>60</v>
      </c>
      <c r="K40" t="s">
        <v>59</v>
      </c>
      <c r="L40" t="s">
        <v>56</v>
      </c>
      <c r="M40">
        <v>1</v>
      </c>
      <c r="N40" t="s">
        <v>57</v>
      </c>
      <c r="O40" s="4" t="str">
        <f t="shared" si="7"/>
        <v>BXX</v>
      </c>
      <c r="P40" t="s">
        <v>14</v>
      </c>
      <c r="Q40" s="4" t="str">
        <f>$A$3&amp;".DA_GA.RE"</f>
        <v>BXX_SLP1_DM1.DA_GA.RE</v>
      </c>
      <c r="R40" t="s">
        <v>14</v>
      </c>
      <c r="S40" s="4" t="str">
        <f t="shared" si="8"/>
        <v>BXX Pump 1 Soft Starter Fault Enable</v>
      </c>
      <c r="T40">
        <v>0</v>
      </c>
      <c r="U40">
        <v>0</v>
      </c>
    </row>
    <row r="41" spans="1:21" x14ac:dyDescent="0.25">
      <c r="A41" s="4" t="str">
        <f>$A$3&amp;"_PB_TA_RE"</f>
        <v>BXX_SLP1_DM1_PB_TA_RE</v>
      </c>
      <c r="B41" s="4" t="str">
        <f t="shared" si="5"/>
        <v>BXX_SLP1_DM1</v>
      </c>
      <c r="C41" s="4" t="str">
        <f>$C$3&amp;" Temp/Leak Alarm Enable"</f>
        <v>BXX Pump 1 Temp/Leak Alarm Enable</v>
      </c>
      <c r="D41" s="2">
        <f t="shared" si="6"/>
        <v>33</v>
      </c>
      <c r="E41" t="s">
        <v>14</v>
      </c>
      <c r="F41" t="s">
        <v>13</v>
      </c>
      <c r="G41" s="5">
        <v>600</v>
      </c>
      <c r="H41" t="s">
        <v>13</v>
      </c>
      <c r="I41" t="s">
        <v>54</v>
      </c>
      <c r="J41" t="s">
        <v>60</v>
      </c>
      <c r="K41" t="s">
        <v>59</v>
      </c>
      <c r="L41" t="s">
        <v>56</v>
      </c>
      <c r="M41">
        <v>1</v>
      </c>
      <c r="N41" t="s">
        <v>57</v>
      </c>
      <c r="O41" s="4" t="str">
        <f t="shared" si="7"/>
        <v>BXX</v>
      </c>
      <c r="P41" t="s">
        <v>14</v>
      </c>
      <c r="Q41" s="4" t="str">
        <f>$A$3&amp;".DA_TA.RE"</f>
        <v>BXX_SLP1_DM1.DA_TA.RE</v>
      </c>
      <c r="R41" t="s">
        <v>14</v>
      </c>
      <c r="S41" s="4" t="str">
        <f t="shared" si="8"/>
        <v>BXX Pump 1 Temp/Leak Alarm Enable</v>
      </c>
      <c r="T41">
        <v>0</v>
      </c>
      <c r="U41">
        <v>0</v>
      </c>
    </row>
    <row r="42" spans="1:21" x14ac:dyDescent="0.25">
      <c r="A42" s="4" t="str">
        <f>$A$3&amp;"_PB_ES_DE"</f>
        <v>BXX_SLP1_DM1_PB_ES_DE</v>
      </c>
      <c r="B42" s="4" t="str">
        <f t="shared" si="5"/>
        <v>BXX_SLP1_DM1</v>
      </c>
      <c r="C42" s="4" t="str">
        <f>$C$3&amp;" E-Stop Dialer Enable"</f>
        <v>BXX Pump 1 E-Stop Dialer Enable</v>
      </c>
      <c r="D42" s="2">
        <f t="shared" si="6"/>
        <v>31</v>
      </c>
      <c r="E42" t="s">
        <v>14</v>
      </c>
      <c r="F42" t="s">
        <v>13</v>
      </c>
      <c r="G42" s="5">
        <v>600</v>
      </c>
      <c r="H42" t="s">
        <v>13</v>
      </c>
      <c r="I42" t="s">
        <v>54</v>
      </c>
      <c r="J42" t="s">
        <v>60</v>
      </c>
      <c r="K42" t="s">
        <v>59</v>
      </c>
      <c r="L42" t="s">
        <v>56</v>
      </c>
      <c r="M42">
        <v>1</v>
      </c>
      <c r="N42" t="s">
        <v>57</v>
      </c>
      <c r="O42" s="4" t="str">
        <f t="shared" si="7"/>
        <v>BXX</v>
      </c>
      <c r="P42" t="s">
        <v>14</v>
      </c>
      <c r="Q42" s="4" t="str">
        <f>$A$3&amp;".DA_ES.DE"</f>
        <v>BXX_SLP1_DM1.DA_ES.DE</v>
      </c>
      <c r="R42" t="s">
        <v>14</v>
      </c>
      <c r="S42" s="4" t="str">
        <f t="shared" si="8"/>
        <v>BXX Pump 1 E-Stop Dialer Enable</v>
      </c>
      <c r="T42">
        <v>0</v>
      </c>
      <c r="U42">
        <v>0</v>
      </c>
    </row>
    <row r="43" spans="1:21" x14ac:dyDescent="0.25">
      <c r="A43" s="4" t="str">
        <f>$A$3&amp;"_PB_RA_DE"</f>
        <v>BXX_SLP1_DM1_PB_RA_DE</v>
      </c>
      <c r="B43" s="4" t="str">
        <f t="shared" si="5"/>
        <v>BXX_SLP1_DM1</v>
      </c>
      <c r="C43" s="4" t="str">
        <f>$C$3&amp;" Overload Dialer Enable"</f>
        <v>BXX Pump 1 Overload Dialer Enable</v>
      </c>
      <c r="D43" s="2">
        <f t="shared" si="6"/>
        <v>33</v>
      </c>
      <c r="E43" t="s">
        <v>14</v>
      </c>
      <c r="F43" t="s">
        <v>13</v>
      </c>
      <c r="G43" s="5">
        <v>600</v>
      </c>
      <c r="H43" t="s">
        <v>13</v>
      </c>
      <c r="I43" t="s">
        <v>54</v>
      </c>
      <c r="J43" t="s">
        <v>60</v>
      </c>
      <c r="K43" t="s">
        <v>59</v>
      </c>
      <c r="L43" t="s">
        <v>56</v>
      </c>
      <c r="M43">
        <v>1</v>
      </c>
      <c r="N43" t="s">
        <v>57</v>
      </c>
      <c r="O43" s="4" t="str">
        <f t="shared" si="7"/>
        <v>BXX</v>
      </c>
      <c r="P43" t="s">
        <v>14</v>
      </c>
      <c r="Q43" s="4" t="str">
        <f>$A$3&amp;".DA_RA.DE"</f>
        <v>BXX_SLP1_DM1.DA_RA.DE</v>
      </c>
      <c r="R43" t="s">
        <v>14</v>
      </c>
      <c r="S43" s="4" t="str">
        <f t="shared" si="8"/>
        <v>BXX Pump 1 Overload Dialer Enable</v>
      </c>
      <c r="T43">
        <v>0</v>
      </c>
      <c r="U43">
        <v>0</v>
      </c>
    </row>
    <row r="44" spans="1:21" x14ac:dyDescent="0.25">
      <c r="A44" s="4" t="str">
        <f>$A$3&amp;"_PB_DF_DE"</f>
        <v>BXX_SLP1_DM1_PB_DF_DE</v>
      </c>
      <c r="B44" s="4" t="str">
        <f t="shared" si="5"/>
        <v>BXX_SLP1_DM1</v>
      </c>
      <c r="C44" s="4" t="str">
        <f>$C$3&amp;" Not Ready Dialer Enable"</f>
        <v>BXX Pump 1 Not Ready Dialer Enable</v>
      </c>
      <c r="D44" s="2">
        <f t="shared" si="6"/>
        <v>34</v>
      </c>
      <c r="E44" t="s">
        <v>14</v>
      </c>
      <c r="F44" t="s">
        <v>13</v>
      </c>
      <c r="G44" s="5">
        <v>600</v>
      </c>
      <c r="H44" t="s">
        <v>13</v>
      </c>
      <c r="I44" t="s">
        <v>54</v>
      </c>
      <c r="J44" t="s">
        <v>60</v>
      </c>
      <c r="K44" t="s">
        <v>59</v>
      </c>
      <c r="L44" t="s">
        <v>56</v>
      </c>
      <c r="M44">
        <v>1</v>
      </c>
      <c r="N44" t="s">
        <v>57</v>
      </c>
      <c r="O44" s="4" t="str">
        <f t="shared" si="7"/>
        <v>BXX</v>
      </c>
      <c r="P44" t="s">
        <v>14</v>
      </c>
      <c r="Q44" s="4" t="str">
        <f>$A$3&amp;".DA_DF.DE"</f>
        <v>BXX_SLP1_DM1.DA_DF.DE</v>
      </c>
      <c r="R44" t="s">
        <v>14</v>
      </c>
      <c r="S44" s="4" t="str">
        <f t="shared" si="8"/>
        <v>BXX Pump 1 Not Ready Dialer Enable</v>
      </c>
      <c r="T44">
        <v>0</v>
      </c>
      <c r="U44">
        <v>0</v>
      </c>
    </row>
    <row r="45" spans="1:21" x14ac:dyDescent="0.25">
      <c r="A45" s="4" t="str">
        <f>$A$3&amp;"_PB_MA_DE"</f>
        <v>BXX_SLP1_DM1_PB_MA_DE</v>
      </c>
      <c r="B45" s="4" t="str">
        <f t="shared" si="5"/>
        <v>BXX_SLP1_DM1</v>
      </c>
      <c r="C45" s="4" t="str">
        <f>$C$3&amp;" Loss of Prime Dialer Enable"</f>
        <v>BXX Pump 1 Loss of Prime Dialer Enable</v>
      </c>
      <c r="D45" s="2">
        <f t="shared" si="6"/>
        <v>38</v>
      </c>
      <c r="E45" t="s">
        <v>14</v>
      </c>
      <c r="F45" t="s">
        <v>13</v>
      </c>
      <c r="G45" s="5">
        <v>600</v>
      </c>
      <c r="H45" t="s">
        <v>13</v>
      </c>
      <c r="I45" t="s">
        <v>54</v>
      </c>
      <c r="J45" t="s">
        <v>60</v>
      </c>
      <c r="K45" t="s">
        <v>59</v>
      </c>
      <c r="L45" t="s">
        <v>56</v>
      </c>
      <c r="M45">
        <v>1</v>
      </c>
      <c r="N45" t="s">
        <v>57</v>
      </c>
      <c r="O45" s="4" t="str">
        <f t="shared" si="7"/>
        <v>BXX</v>
      </c>
      <c r="P45" t="s">
        <v>14</v>
      </c>
      <c r="Q45" s="4" t="str">
        <f>$A$3&amp;".DA_MA.DE"</f>
        <v>BXX_SLP1_DM1.DA_MA.DE</v>
      </c>
      <c r="R45" t="s">
        <v>14</v>
      </c>
      <c r="S45" s="4" t="str">
        <f t="shared" si="8"/>
        <v>BXX Pump 1 Loss of Prime Dialer Enable</v>
      </c>
      <c r="T45">
        <v>0</v>
      </c>
      <c r="U45">
        <v>0</v>
      </c>
    </row>
    <row r="46" spans="1:21" x14ac:dyDescent="0.25">
      <c r="A46" s="4" t="str">
        <f>$A$3&amp;"_PB_GA_DE"</f>
        <v>BXX_SLP1_DM1_PB_GA_DE</v>
      </c>
      <c r="B46" s="4" t="str">
        <f t="shared" si="5"/>
        <v>BXX_SLP1_DM1</v>
      </c>
      <c r="C46" s="4" t="str">
        <f>$C$3&amp;" Soft Starter Fault Dialer Enable"</f>
        <v>BXX Pump 1 Soft Starter Fault Dialer Enable</v>
      </c>
      <c r="D46" s="2">
        <f t="shared" si="6"/>
        <v>43</v>
      </c>
      <c r="E46" t="s">
        <v>14</v>
      </c>
      <c r="F46" t="s">
        <v>13</v>
      </c>
      <c r="G46" s="5">
        <v>600</v>
      </c>
      <c r="H46" t="s">
        <v>13</v>
      </c>
      <c r="I46" t="s">
        <v>54</v>
      </c>
      <c r="J46" t="s">
        <v>60</v>
      </c>
      <c r="K46" t="s">
        <v>59</v>
      </c>
      <c r="L46" t="s">
        <v>56</v>
      </c>
      <c r="M46">
        <v>1</v>
      </c>
      <c r="N46" t="s">
        <v>57</v>
      </c>
      <c r="O46" s="4" t="str">
        <f t="shared" si="7"/>
        <v>BXX</v>
      </c>
      <c r="P46" t="s">
        <v>14</v>
      </c>
      <c r="Q46" s="4" t="str">
        <f>$A$3&amp;".DA_GA.DE"</f>
        <v>BXX_SLP1_DM1.DA_GA.DE</v>
      </c>
      <c r="R46" t="s">
        <v>14</v>
      </c>
      <c r="S46" s="4" t="str">
        <f t="shared" si="8"/>
        <v>BXX Pump 1 Soft Starter Fault Dialer Enable</v>
      </c>
      <c r="T46">
        <v>0</v>
      </c>
      <c r="U46">
        <v>0</v>
      </c>
    </row>
    <row r="47" spans="1:21" x14ac:dyDescent="0.25">
      <c r="A47" s="4" t="str">
        <f>$A$3&amp;"_PB_TA_DE"</f>
        <v>BXX_SLP1_DM1_PB_TA_DE</v>
      </c>
      <c r="B47" s="4" t="str">
        <f t="shared" si="5"/>
        <v>BXX_SLP1_DM1</v>
      </c>
      <c r="C47" s="4" t="str">
        <f>$C$3&amp;" Temp/Leak Dialer Enable"</f>
        <v>BXX Pump 1 Temp/Leak Dialer Enable</v>
      </c>
      <c r="D47" s="2">
        <f t="shared" si="6"/>
        <v>34</v>
      </c>
      <c r="E47" t="s">
        <v>14</v>
      </c>
      <c r="F47" t="s">
        <v>13</v>
      </c>
      <c r="G47" s="5">
        <v>600</v>
      </c>
      <c r="H47" t="s">
        <v>13</v>
      </c>
      <c r="I47" t="s">
        <v>54</v>
      </c>
      <c r="J47" t="s">
        <v>60</v>
      </c>
      <c r="K47" t="s">
        <v>59</v>
      </c>
      <c r="L47" t="s">
        <v>56</v>
      </c>
      <c r="M47">
        <v>1</v>
      </c>
      <c r="N47" t="s">
        <v>57</v>
      </c>
      <c r="O47" s="4" t="str">
        <f t="shared" si="7"/>
        <v>BXX</v>
      </c>
      <c r="P47" t="s">
        <v>14</v>
      </c>
      <c r="Q47" s="4" t="str">
        <f>$A$3&amp;".DA_TA.DE"</f>
        <v>BXX_SLP1_DM1.DA_TA.DE</v>
      </c>
      <c r="R47" t="s">
        <v>14</v>
      </c>
      <c r="S47" s="4" t="str">
        <f t="shared" si="8"/>
        <v>BXX Pump 1 Temp/Leak Dialer Enable</v>
      </c>
      <c r="T47">
        <v>0</v>
      </c>
      <c r="U47">
        <v>0</v>
      </c>
    </row>
    <row r="48" spans="1:21" x14ac:dyDescent="0.25">
      <c r="A48" s="4" t="str">
        <f>$A$3&amp;"_PB_ES_SR"</f>
        <v>BXX_SLP1_DM1_PB_ES_SR</v>
      </c>
      <c r="B48" s="4" t="str">
        <f t="shared" si="5"/>
        <v>BXX_SLP1_DM1</v>
      </c>
      <c r="C48" s="4" t="str">
        <f>$C$3&amp;" E-Stop Sup Enable"</f>
        <v>BXX Pump 1 E-Stop Sup Enable</v>
      </c>
      <c r="D48" s="2">
        <f t="shared" si="6"/>
        <v>28</v>
      </c>
      <c r="E48" t="s">
        <v>14</v>
      </c>
      <c r="F48" t="s">
        <v>13</v>
      </c>
      <c r="G48" s="5">
        <v>600</v>
      </c>
      <c r="H48" t="s">
        <v>13</v>
      </c>
      <c r="I48" t="s">
        <v>54</v>
      </c>
      <c r="J48" t="s">
        <v>60</v>
      </c>
      <c r="K48" t="s">
        <v>59</v>
      </c>
      <c r="L48" t="s">
        <v>56</v>
      </c>
      <c r="M48">
        <v>1</v>
      </c>
      <c r="N48" t="s">
        <v>57</v>
      </c>
      <c r="O48" s="4" t="str">
        <f t="shared" si="7"/>
        <v>BXX</v>
      </c>
      <c r="P48" t="s">
        <v>14</v>
      </c>
      <c r="Q48" s="4" t="str">
        <f>$A$3&amp;".DA_ES.SR"</f>
        <v>BXX_SLP1_DM1.DA_ES.SR</v>
      </c>
      <c r="R48" t="s">
        <v>14</v>
      </c>
      <c r="S48" s="4" t="str">
        <f t="shared" si="8"/>
        <v>BXX Pump 1 E-Stop Sup Enable</v>
      </c>
      <c r="T48">
        <v>0</v>
      </c>
      <c r="U48">
        <v>0</v>
      </c>
    </row>
    <row r="49" spans="1:64" x14ac:dyDescent="0.25">
      <c r="A49" s="4" t="str">
        <f>$A$3&amp;"_PB_RA_SR"</f>
        <v>BXX_SLP1_DM1_PB_RA_SR</v>
      </c>
      <c r="B49" s="4" t="str">
        <f t="shared" si="5"/>
        <v>BXX_SLP1_DM1</v>
      </c>
      <c r="C49" s="4" t="str">
        <f>$C$3&amp;" Overload Sup Enable"</f>
        <v>BXX Pump 1 Overload Sup Enable</v>
      </c>
      <c r="D49" s="2">
        <f t="shared" si="6"/>
        <v>30</v>
      </c>
      <c r="E49" t="s">
        <v>14</v>
      </c>
      <c r="F49" t="s">
        <v>13</v>
      </c>
      <c r="G49" s="5">
        <v>600</v>
      </c>
      <c r="H49" t="s">
        <v>13</v>
      </c>
      <c r="I49" t="s">
        <v>54</v>
      </c>
      <c r="J49" t="s">
        <v>60</v>
      </c>
      <c r="K49" t="s">
        <v>59</v>
      </c>
      <c r="L49" t="s">
        <v>56</v>
      </c>
      <c r="M49">
        <v>1</v>
      </c>
      <c r="N49" t="s">
        <v>57</v>
      </c>
      <c r="O49" s="4" t="str">
        <f t="shared" si="7"/>
        <v>BXX</v>
      </c>
      <c r="P49" t="s">
        <v>14</v>
      </c>
      <c r="Q49" s="4" t="str">
        <f>$A$3&amp;".DA_RA.SR"</f>
        <v>BXX_SLP1_DM1.DA_RA.SR</v>
      </c>
      <c r="R49" t="s">
        <v>14</v>
      </c>
      <c r="S49" s="4" t="str">
        <f t="shared" si="8"/>
        <v>BXX Pump 1 Overload Sup Enable</v>
      </c>
      <c r="T49">
        <v>0</v>
      </c>
      <c r="U49">
        <v>0</v>
      </c>
    </row>
    <row r="50" spans="1:64" x14ac:dyDescent="0.25">
      <c r="A50" s="4" t="str">
        <f>$A$3&amp;"_PB_DF_SR"</f>
        <v>BXX_SLP1_DM1_PB_DF_SR</v>
      </c>
      <c r="B50" s="4" t="str">
        <f t="shared" si="5"/>
        <v>BXX_SLP1_DM1</v>
      </c>
      <c r="C50" s="4" t="str">
        <f>$C$3&amp;" Not Ready Sup Enable"</f>
        <v>BXX Pump 1 Not Ready Sup Enable</v>
      </c>
      <c r="D50" s="2">
        <f t="shared" si="6"/>
        <v>31</v>
      </c>
      <c r="E50" t="s">
        <v>14</v>
      </c>
      <c r="F50" t="s">
        <v>13</v>
      </c>
      <c r="G50" s="5">
        <v>600</v>
      </c>
      <c r="H50" t="s">
        <v>13</v>
      </c>
      <c r="I50" t="s">
        <v>54</v>
      </c>
      <c r="J50" t="s">
        <v>60</v>
      </c>
      <c r="K50" t="s">
        <v>59</v>
      </c>
      <c r="L50" t="s">
        <v>56</v>
      </c>
      <c r="M50">
        <v>1</v>
      </c>
      <c r="N50" t="s">
        <v>57</v>
      </c>
      <c r="O50" s="4" t="str">
        <f t="shared" si="7"/>
        <v>BXX</v>
      </c>
      <c r="P50" t="s">
        <v>14</v>
      </c>
      <c r="Q50" s="4" t="str">
        <f>$A$3&amp;".DA_DF.SR"</f>
        <v>BXX_SLP1_DM1.DA_DF.SR</v>
      </c>
      <c r="R50" t="s">
        <v>14</v>
      </c>
      <c r="S50" s="4" t="str">
        <f t="shared" si="8"/>
        <v>BXX Pump 1 Not Ready Sup Enable</v>
      </c>
      <c r="T50">
        <v>0</v>
      </c>
      <c r="U50">
        <v>0</v>
      </c>
    </row>
    <row r="51" spans="1:64" x14ac:dyDescent="0.25">
      <c r="A51" s="4" t="str">
        <f>$A$3&amp;"_PB_GA_SR"</f>
        <v>BXX_SLP1_DM1_PB_GA_SR</v>
      </c>
      <c r="B51" s="4" t="str">
        <f t="shared" si="5"/>
        <v>BXX_SLP1_DM1</v>
      </c>
      <c r="C51" s="4" t="str">
        <f>$C$3&amp;" Soft Starter Fault Sup Enable"</f>
        <v>BXX Pump 1 Soft Starter Fault Sup Enable</v>
      </c>
      <c r="D51" s="2">
        <f t="shared" si="6"/>
        <v>40</v>
      </c>
      <c r="E51" t="s">
        <v>14</v>
      </c>
      <c r="F51" t="s">
        <v>13</v>
      </c>
      <c r="G51" s="5">
        <v>600</v>
      </c>
      <c r="H51" t="s">
        <v>13</v>
      </c>
      <c r="I51" t="s">
        <v>54</v>
      </c>
      <c r="J51" t="s">
        <v>60</v>
      </c>
      <c r="K51" t="s">
        <v>59</v>
      </c>
      <c r="L51" t="s">
        <v>56</v>
      </c>
      <c r="M51">
        <v>1</v>
      </c>
      <c r="N51" t="s">
        <v>57</v>
      </c>
      <c r="O51" s="4" t="str">
        <f t="shared" si="7"/>
        <v>BXX</v>
      </c>
      <c r="P51" t="s">
        <v>14</v>
      </c>
      <c r="Q51" s="4" t="str">
        <f>$A$3&amp;".DA_GA.SR"</f>
        <v>BXX_SLP1_DM1.DA_GA.SR</v>
      </c>
      <c r="R51" t="s">
        <v>14</v>
      </c>
      <c r="S51" s="4" t="str">
        <f t="shared" si="8"/>
        <v>BXX Pump 1 Soft Starter Fault Sup Enable</v>
      </c>
      <c r="T51">
        <v>0</v>
      </c>
      <c r="U51">
        <v>0</v>
      </c>
    </row>
    <row r="52" spans="1:64" x14ac:dyDescent="0.25">
      <c r="A52" s="4" t="str">
        <f>$A$3&amp;"_PB_TA_SR"</f>
        <v>BXX_SLP1_DM1_PB_TA_SR</v>
      </c>
      <c r="B52" s="4" t="str">
        <f t="shared" si="5"/>
        <v>BXX_SLP1_DM1</v>
      </c>
      <c r="C52" s="4" t="str">
        <f>$C$3&amp;" Temp/Leak Sup Enable"</f>
        <v>BXX Pump 1 Temp/Leak Sup Enable</v>
      </c>
      <c r="D52" s="2">
        <f t="shared" si="6"/>
        <v>31</v>
      </c>
      <c r="E52" t="s">
        <v>14</v>
      </c>
      <c r="F52" t="s">
        <v>13</v>
      </c>
      <c r="G52" s="5">
        <v>600</v>
      </c>
      <c r="H52" t="s">
        <v>13</v>
      </c>
      <c r="I52" t="s">
        <v>54</v>
      </c>
      <c r="J52" t="s">
        <v>60</v>
      </c>
      <c r="K52" t="s">
        <v>59</v>
      </c>
      <c r="L52" t="s">
        <v>56</v>
      </c>
      <c r="M52">
        <v>1</v>
      </c>
      <c r="N52" t="s">
        <v>57</v>
      </c>
      <c r="O52" s="4" t="str">
        <f t="shared" si="7"/>
        <v>BXX</v>
      </c>
      <c r="P52" t="s">
        <v>14</v>
      </c>
      <c r="Q52" s="4" t="str">
        <f>$A$3&amp;".DA_TA.SR"</f>
        <v>BXX_SLP1_DM1.DA_TA.SR</v>
      </c>
      <c r="R52" t="s">
        <v>14</v>
      </c>
      <c r="S52" s="4" t="str">
        <f t="shared" si="8"/>
        <v>BXX Pump 1 Temp/Leak Sup Enable</v>
      </c>
      <c r="T52">
        <v>0</v>
      </c>
      <c r="U52">
        <v>0</v>
      </c>
    </row>
    <row r="53" spans="1:64" x14ac:dyDescent="0.25">
      <c r="A53" t="s">
        <v>186</v>
      </c>
      <c r="B53" t="s">
        <v>16</v>
      </c>
      <c r="C53" t="s">
        <v>17</v>
      </c>
      <c r="D53"/>
      <c r="E53" t="s">
        <v>39</v>
      </c>
      <c r="F53" t="s">
        <v>18</v>
      </c>
      <c r="G53" t="s">
        <v>19</v>
      </c>
      <c r="H53" t="s">
        <v>40</v>
      </c>
      <c r="I53" t="s">
        <v>71</v>
      </c>
      <c r="J53" t="s">
        <v>72</v>
      </c>
      <c r="K53" t="s">
        <v>73</v>
      </c>
      <c r="L53" t="s">
        <v>74</v>
      </c>
      <c r="M53" t="s">
        <v>75</v>
      </c>
      <c r="N53" t="s">
        <v>187</v>
      </c>
      <c r="O53" t="s">
        <v>188</v>
      </c>
      <c r="P53" t="s">
        <v>78</v>
      </c>
      <c r="Q53" t="s">
        <v>79</v>
      </c>
      <c r="R53" t="s">
        <v>80</v>
      </c>
      <c r="S53" t="s">
        <v>81</v>
      </c>
      <c r="T53" t="s">
        <v>82</v>
      </c>
      <c r="U53" t="s">
        <v>83</v>
      </c>
      <c r="V53" t="s">
        <v>84</v>
      </c>
      <c r="W53" t="s">
        <v>85</v>
      </c>
      <c r="X53" t="s">
        <v>86</v>
      </c>
      <c r="Y53" t="s">
        <v>87</v>
      </c>
      <c r="Z53" t="s">
        <v>88</v>
      </c>
      <c r="AA53" t="s">
        <v>89</v>
      </c>
      <c r="AB53" t="s">
        <v>90</v>
      </c>
      <c r="AC53" t="s">
        <v>91</v>
      </c>
      <c r="AD53" t="s">
        <v>92</v>
      </c>
      <c r="AE53" t="s">
        <v>93</v>
      </c>
      <c r="AF53" t="s">
        <v>94</v>
      </c>
      <c r="AG53" t="s">
        <v>95</v>
      </c>
      <c r="AH53" t="s">
        <v>96</v>
      </c>
      <c r="AI53" t="s">
        <v>97</v>
      </c>
      <c r="AJ53" t="s">
        <v>98</v>
      </c>
      <c r="AK53" t="s">
        <v>99</v>
      </c>
      <c r="AL53" t="s">
        <v>100</v>
      </c>
      <c r="AM53" t="s">
        <v>101</v>
      </c>
      <c r="AN53" t="s">
        <v>102</v>
      </c>
      <c r="AO53" t="s">
        <v>51</v>
      </c>
      <c r="AP53" t="s">
        <v>52</v>
      </c>
      <c r="AQ53" t="s">
        <v>20</v>
      </c>
      <c r="AR53" t="s">
        <v>21</v>
      </c>
      <c r="AS53" t="s">
        <v>22</v>
      </c>
      <c r="AT53" t="s">
        <v>23</v>
      </c>
      <c r="AU53" t="s">
        <v>24</v>
      </c>
      <c r="AV53" t="s">
        <v>25</v>
      </c>
      <c r="AW53" t="s">
        <v>26</v>
      </c>
      <c r="AX53" t="s">
        <v>28</v>
      </c>
      <c r="AY53" t="s">
        <v>29</v>
      </c>
      <c r="AZ53" t="s">
        <v>30</v>
      </c>
      <c r="BA53" t="s">
        <v>31</v>
      </c>
      <c r="BB53" t="s">
        <v>32</v>
      </c>
      <c r="BC53" t="s">
        <v>33</v>
      </c>
      <c r="BD53" t="s">
        <v>34</v>
      </c>
      <c r="BE53" t="s">
        <v>53</v>
      </c>
    </row>
    <row r="54" spans="1:64" x14ac:dyDescent="0.25">
      <c r="A54" t="s">
        <v>189</v>
      </c>
      <c r="B54" t="s">
        <v>127</v>
      </c>
      <c r="C54" t="s">
        <v>190</v>
      </c>
      <c r="E54" t="s">
        <v>14</v>
      </c>
      <c r="F54" t="s">
        <v>14</v>
      </c>
      <c r="G54">
        <v>0</v>
      </c>
      <c r="H54" t="s">
        <v>14</v>
      </c>
      <c r="I54" t="s">
        <v>14</v>
      </c>
      <c r="J54">
        <v>0</v>
      </c>
      <c r="K54">
        <v>0</v>
      </c>
      <c r="M54">
        <v>0</v>
      </c>
      <c r="N54">
        <v>0</v>
      </c>
      <c r="O54">
        <v>9999</v>
      </c>
      <c r="P54">
        <v>0</v>
      </c>
      <c r="Q54">
        <v>0</v>
      </c>
      <c r="R54" t="s">
        <v>54</v>
      </c>
      <c r="S54">
        <v>0</v>
      </c>
      <c r="T54">
        <v>1</v>
      </c>
      <c r="U54" t="s">
        <v>54</v>
      </c>
      <c r="V54">
        <v>0</v>
      </c>
      <c r="W54">
        <v>1</v>
      </c>
      <c r="X54" t="s">
        <v>54</v>
      </c>
      <c r="Y54">
        <v>0</v>
      </c>
      <c r="Z54">
        <v>1</v>
      </c>
      <c r="AA54" t="s">
        <v>54</v>
      </c>
      <c r="AB54">
        <v>0</v>
      </c>
      <c r="AC54">
        <v>1</v>
      </c>
      <c r="AD54" t="s">
        <v>54</v>
      </c>
      <c r="AE54">
        <v>0</v>
      </c>
      <c r="AF54">
        <v>1</v>
      </c>
      <c r="AG54" t="s">
        <v>54</v>
      </c>
      <c r="AH54">
        <v>0</v>
      </c>
      <c r="AI54">
        <v>1</v>
      </c>
      <c r="AJ54">
        <v>0</v>
      </c>
      <c r="AK54" t="s">
        <v>54</v>
      </c>
      <c r="AL54">
        <v>0</v>
      </c>
      <c r="AM54">
        <v>1</v>
      </c>
      <c r="AN54" t="s">
        <v>107</v>
      </c>
      <c r="AO54" t="s">
        <v>190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</row>
    <row r="55" spans="1:64" x14ac:dyDescent="0.25">
      <c r="A55" t="s">
        <v>191</v>
      </c>
      <c r="B55" t="s">
        <v>127</v>
      </c>
      <c r="C55" t="s">
        <v>190</v>
      </c>
      <c r="E55" t="s">
        <v>14</v>
      </c>
      <c r="F55" t="s">
        <v>14</v>
      </c>
      <c r="G55">
        <v>0</v>
      </c>
      <c r="H55" t="s">
        <v>14</v>
      </c>
      <c r="I55" t="s">
        <v>14</v>
      </c>
      <c r="J55">
        <v>0</v>
      </c>
      <c r="K55">
        <v>0</v>
      </c>
      <c r="M55">
        <v>0</v>
      </c>
      <c r="N55">
        <v>0</v>
      </c>
      <c r="O55">
        <v>9999</v>
      </c>
      <c r="P55">
        <v>0</v>
      </c>
      <c r="Q55">
        <v>0</v>
      </c>
      <c r="R55" t="s">
        <v>54</v>
      </c>
      <c r="S55">
        <v>0</v>
      </c>
      <c r="T55">
        <v>1</v>
      </c>
      <c r="U55" t="s">
        <v>54</v>
      </c>
      <c r="V55">
        <v>0</v>
      </c>
      <c r="W55">
        <v>1</v>
      </c>
      <c r="X55" t="s">
        <v>54</v>
      </c>
      <c r="Y55">
        <v>0</v>
      </c>
      <c r="Z55">
        <v>1</v>
      </c>
      <c r="AA55" t="s">
        <v>54</v>
      </c>
      <c r="AB55">
        <v>0</v>
      </c>
      <c r="AC55">
        <v>1</v>
      </c>
      <c r="AD55" t="s">
        <v>54</v>
      </c>
      <c r="AE55">
        <v>0</v>
      </c>
      <c r="AF55">
        <v>1</v>
      </c>
      <c r="AG55" t="s">
        <v>54</v>
      </c>
      <c r="AH55">
        <v>0</v>
      </c>
      <c r="AI55">
        <v>1</v>
      </c>
      <c r="AJ55">
        <v>0</v>
      </c>
      <c r="AK55" t="s">
        <v>54</v>
      </c>
      <c r="AL55">
        <v>0</v>
      </c>
      <c r="AM55">
        <v>1</v>
      </c>
      <c r="AN55" t="s">
        <v>107</v>
      </c>
      <c r="AO55" t="s">
        <v>190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</row>
    <row r="56" spans="1:64" x14ac:dyDescent="0.25">
      <c r="A56" t="s">
        <v>192</v>
      </c>
      <c r="B56" t="s">
        <v>127</v>
      </c>
      <c r="C56" t="s">
        <v>190</v>
      </c>
      <c r="E56" t="s">
        <v>14</v>
      </c>
      <c r="F56" t="s">
        <v>14</v>
      </c>
      <c r="G56">
        <v>0</v>
      </c>
      <c r="H56" t="s">
        <v>14</v>
      </c>
      <c r="I56" t="s">
        <v>14</v>
      </c>
      <c r="J56">
        <v>0</v>
      </c>
      <c r="K56">
        <v>0</v>
      </c>
      <c r="M56">
        <v>0</v>
      </c>
      <c r="N56">
        <v>0</v>
      </c>
      <c r="O56">
        <v>9999</v>
      </c>
      <c r="P56">
        <v>0</v>
      </c>
      <c r="Q56">
        <v>0</v>
      </c>
      <c r="R56" t="s">
        <v>54</v>
      </c>
      <c r="S56">
        <v>0</v>
      </c>
      <c r="T56">
        <v>1</v>
      </c>
      <c r="U56" t="s">
        <v>54</v>
      </c>
      <c r="V56">
        <v>0</v>
      </c>
      <c r="W56">
        <v>1</v>
      </c>
      <c r="X56" t="s">
        <v>54</v>
      </c>
      <c r="Y56">
        <v>0</v>
      </c>
      <c r="Z56">
        <v>1</v>
      </c>
      <c r="AA56" t="s">
        <v>54</v>
      </c>
      <c r="AB56">
        <v>0</v>
      </c>
      <c r="AC56">
        <v>1</v>
      </c>
      <c r="AD56" t="s">
        <v>54</v>
      </c>
      <c r="AE56">
        <v>0</v>
      </c>
      <c r="AF56">
        <v>1</v>
      </c>
      <c r="AG56" t="s">
        <v>54</v>
      </c>
      <c r="AH56">
        <v>0</v>
      </c>
      <c r="AI56">
        <v>1</v>
      </c>
      <c r="AJ56">
        <v>0</v>
      </c>
      <c r="AK56" t="s">
        <v>54</v>
      </c>
      <c r="AL56">
        <v>0</v>
      </c>
      <c r="AM56">
        <v>1</v>
      </c>
      <c r="AN56" t="s">
        <v>107</v>
      </c>
      <c r="AO56" t="s">
        <v>190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</row>
    <row r="57" spans="1:64" x14ac:dyDescent="0.25">
      <c r="A57" t="s">
        <v>173</v>
      </c>
      <c r="B57" t="s">
        <v>127</v>
      </c>
      <c r="C57" t="s">
        <v>174</v>
      </c>
      <c r="E57" t="s">
        <v>14</v>
      </c>
      <c r="F57" t="s">
        <v>14</v>
      </c>
      <c r="G57">
        <v>0</v>
      </c>
      <c r="H57" t="s">
        <v>14</v>
      </c>
      <c r="I57" t="s">
        <v>14</v>
      </c>
      <c r="J57">
        <v>0</v>
      </c>
      <c r="K57">
        <v>0</v>
      </c>
      <c r="M57">
        <v>0</v>
      </c>
      <c r="N57">
        <v>0</v>
      </c>
      <c r="O57">
        <v>9999</v>
      </c>
      <c r="P57">
        <v>0</v>
      </c>
      <c r="Q57">
        <v>0</v>
      </c>
      <c r="R57" t="s">
        <v>54</v>
      </c>
      <c r="S57">
        <v>0</v>
      </c>
      <c r="T57">
        <v>1</v>
      </c>
      <c r="U57" t="s">
        <v>54</v>
      </c>
      <c r="V57">
        <v>0</v>
      </c>
      <c r="W57">
        <v>1</v>
      </c>
      <c r="X57" t="s">
        <v>54</v>
      </c>
      <c r="Y57">
        <v>0</v>
      </c>
      <c r="Z57">
        <v>1</v>
      </c>
      <c r="AA57" t="s">
        <v>54</v>
      </c>
      <c r="AB57">
        <v>0</v>
      </c>
      <c r="AC57">
        <v>1</v>
      </c>
      <c r="AD57" t="s">
        <v>54</v>
      </c>
      <c r="AE57">
        <v>0</v>
      </c>
      <c r="AF57">
        <v>1</v>
      </c>
      <c r="AG57" t="s">
        <v>54</v>
      </c>
      <c r="AH57">
        <v>0</v>
      </c>
      <c r="AI57">
        <v>1</v>
      </c>
      <c r="AJ57">
        <v>0</v>
      </c>
      <c r="AK57" t="s">
        <v>54</v>
      </c>
      <c r="AL57">
        <v>0</v>
      </c>
      <c r="AM57">
        <v>1</v>
      </c>
      <c r="AN57" t="s">
        <v>107</v>
      </c>
      <c r="AO57" t="s">
        <v>174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</row>
    <row r="58" spans="1:64" x14ac:dyDescent="0.25">
      <c r="A58" s="5" t="s">
        <v>70</v>
      </c>
      <c r="B58" t="s">
        <v>16</v>
      </c>
      <c r="C58" t="s">
        <v>17</v>
      </c>
      <c r="D58" s="2">
        <f t="shared" ref="D58:D61" si="9">LEN(C58)</f>
        <v>7</v>
      </c>
      <c r="E58" t="s">
        <v>39</v>
      </c>
      <c r="F58" t="s">
        <v>18</v>
      </c>
      <c r="G58" t="s">
        <v>19</v>
      </c>
      <c r="H58" t="s">
        <v>40</v>
      </c>
      <c r="I58" t="s">
        <v>71</v>
      </c>
      <c r="J58" t="s">
        <v>72</v>
      </c>
      <c r="K58" t="s">
        <v>73</v>
      </c>
      <c r="L58" t="s">
        <v>74</v>
      </c>
      <c r="M58" t="s">
        <v>75</v>
      </c>
      <c r="N58" t="s">
        <v>76</v>
      </c>
      <c r="O58" t="s">
        <v>77</v>
      </c>
      <c r="P58" t="s">
        <v>78</v>
      </c>
      <c r="Q58" t="s">
        <v>79</v>
      </c>
      <c r="R58" t="s">
        <v>80</v>
      </c>
      <c r="S58" t="s">
        <v>81</v>
      </c>
      <c r="T58" t="s">
        <v>82</v>
      </c>
      <c r="U58" t="s">
        <v>83</v>
      </c>
      <c r="V58" t="s">
        <v>84</v>
      </c>
      <c r="W58" t="s">
        <v>85</v>
      </c>
      <c r="X58" t="s">
        <v>86</v>
      </c>
      <c r="Y58" t="s">
        <v>87</v>
      </c>
      <c r="Z58" t="s">
        <v>88</v>
      </c>
      <c r="AA58" t="s">
        <v>89</v>
      </c>
      <c r="AB58" t="s">
        <v>90</v>
      </c>
      <c r="AC58" t="s">
        <v>91</v>
      </c>
      <c r="AD58" t="s">
        <v>92</v>
      </c>
      <c r="AE58" t="s">
        <v>93</v>
      </c>
      <c r="AF58" t="s">
        <v>94</v>
      </c>
      <c r="AG58" t="s">
        <v>95</v>
      </c>
      <c r="AH58" t="s">
        <v>96</v>
      </c>
      <c r="AI58" t="s">
        <v>97</v>
      </c>
      <c r="AJ58" t="s">
        <v>98</v>
      </c>
      <c r="AK58" t="s">
        <v>99</v>
      </c>
      <c r="AL58" t="s">
        <v>100</v>
      </c>
      <c r="AM58" t="s">
        <v>101</v>
      </c>
      <c r="AN58" t="s">
        <v>102</v>
      </c>
      <c r="AO58" t="s">
        <v>103</v>
      </c>
      <c r="AP58" t="s">
        <v>104</v>
      </c>
      <c r="AQ58" t="s">
        <v>105</v>
      </c>
      <c r="AR58" t="s">
        <v>47</v>
      </c>
      <c r="AS58" t="s">
        <v>48</v>
      </c>
      <c r="AT58" t="s">
        <v>49</v>
      </c>
      <c r="AU58" t="s">
        <v>50</v>
      </c>
      <c r="AV58" t="s">
        <v>51</v>
      </c>
      <c r="AW58" t="s">
        <v>52</v>
      </c>
      <c r="AX58" t="s">
        <v>20</v>
      </c>
      <c r="AY58" t="s">
        <v>21</v>
      </c>
      <c r="AZ58" t="s">
        <v>22</v>
      </c>
      <c r="BA58" t="s">
        <v>23</v>
      </c>
      <c r="BB58" t="s">
        <v>24</v>
      </c>
      <c r="BC58" t="s">
        <v>25</v>
      </c>
      <c r="BD58" t="s">
        <v>26</v>
      </c>
      <c r="BE58" t="s">
        <v>28</v>
      </c>
      <c r="BF58" t="s">
        <v>29</v>
      </c>
      <c r="BG58" t="s">
        <v>30</v>
      </c>
      <c r="BH58" t="s">
        <v>31</v>
      </c>
      <c r="BI58" t="s">
        <v>32</v>
      </c>
      <c r="BJ58" t="s">
        <v>33</v>
      </c>
      <c r="BK58" t="s">
        <v>34</v>
      </c>
      <c r="BL58" t="s">
        <v>53</v>
      </c>
    </row>
    <row r="59" spans="1:64" x14ac:dyDescent="0.25">
      <c r="A59" s="4" t="str">
        <f>$A$3&amp;"_AI_RT"</f>
        <v>BXX_SLP1_DM1_AI_RT</v>
      </c>
      <c r="B59" s="4" t="str">
        <f>$A$3</f>
        <v>BXX_SLP1_DM1</v>
      </c>
      <c r="C59" s="4" t="str">
        <f>$C$3&amp;" Runtime (Hours)"</f>
        <v>BXX Pump 1 Runtime (Hours)</v>
      </c>
      <c r="D59" s="2">
        <f t="shared" si="9"/>
        <v>26</v>
      </c>
      <c r="E59" t="s">
        <v>13</v>
      </c>
      <c r="F59" t="s">
        <v>14</v>
      </c>
      <c r="G59">
        <v>0</v>
      </c>
      <c r="H59" t="s">
        <v>13</v>
      </c>
      <c r="I59" t="s">
        <v>14</v>
      </c>
      <c r="J59">
        <v>0</v>
      </c>
      <c r="K59">
        <v>0</v>
      </c>
      <c r="L59" t="s">
        <v>193</v>
      </c>
      <c r="M59">
        <v>0</v>
      </c>
      <c r="N59">
        <v>0</v>
      </c>
      <c r="O59">
        <v>1000000</v>
      </c>
      <c r="P59">
        <v>0</v>
      </c>
      <c r="Q59">
        <v>1</v>
      </c>
      <c r="R59" t="s">
        <v>54</v>
      </c>
      <c r="S59">
        <v>0</v>
      </c>
      <c r="T59">
        <v>1</v>
      </c>
      <c r="U59" t="s">
        <v>54</v>
      </c>
      <c r="V59">
        <v>0</v>
      </c>
      <c r="W59">
        <v>1</v>
      </c>
      <c r="X59" t="s">
        <v>54</v>
      </c>
      <c r="Y59">
        <v>0</v>
      </c>
      <c r="Z59">
        <v>1</v>
      </c>
      <c r="AA59" t="s">
        <v>54</v>
      </c>
      <c r="AB59">
        <v>0</v>
      </c>
      <c r="AC59">
        <v>1</v>
      </c>
      <c r="AD59" t="s">
        <v>54</v>
      </c>
      <c r="AE59">
        <v>0</v>
      </c>
      <c r="AF59">
        <v>1</v>
      </c>
      <c r="AG59" t="s">
        <v>54</v>
      </c>
      <c r="AH59">
        <v>0</v>
      </c>
      <c r="AI59">
        <v>1</v>
      </c>
      <c r="AJ59">
        <v>0</v>
      </c>
      <c r="AK59" t="s">
        <v>54</v>
      </c>
      <c r="AL59">
        <v>0</v>
      </c>
      <c r="AM59">
        <v>1</v>
      </c>
      <c r="AN59" t="s">
        <v>107</v>
      </c>
      <c r="AO59">
        <v>0</v>
      </c>
      <c r="AP59">
        <v>1000000</v>
      </c>
      <c r="AQ59" t="s">
        <v>108</v>
      </c>
      <c r="AR59" s="4" t="str">
        <f>$O$7</f>
        <v>BXX</v>
      </c>
      <c r="AS59" t="s">
        <v>14</v>
      </c>
      <c r="AT59" s="4" t="str">
        <f>$A$3&amp;".AI_RT"</f>
        <v>BXX_SLP1_DM1.AI_RT</v>
      </c>
      <c r="AU59" t="s">
        <v>14</v>
      </c>
      <c r="AV59" s="4" t="str">
        <f t="shared" ref="AV59" si="10">C59</f>
        <v>BXX Pump 1 Runtime (Hours)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</row>
    <row r="60" spans="1:64" x14ac:dyDescent="0.25">
      <c r="A60" s="5" t="s">
        <v>123</v>
      </c>
      <c r="B60" t="s">
        <v>16</v>
      </c>
      <c r="C60" t="s">
        <v>17</v>
      </c>
      <c r="D60" s="2">
        <f t="shared" si="9"/>
        <v>7</v>
      </c>
      <c r="E60" t="s">
        <v>39</v>
      </c>
      <c r="F60" t="s">
        <v>18</v>
      </c>
      <c r="G60" t="s">
        <v>19</v>
      </c>
      <c r="H60" t="s">
        <v>40</v>
      </c>
      <c r="I60" t="s">
        <v>124</v>
      </c>
      <c r="J60" t="s">
        <v>125</v>
      </c>
      <c r="K60" t="s">
        <v>51</v>
      </c>
      <c r="L60" t="s">
        <v>53</v>
      </c>
    </row>
    <row r="61" spans="1:64" x14ac:dyDescent="0.25">
      <c r="A61" s="4" t="str">
        <f>$A$3&amp;"_DI_NM"</f>
        <v>BXX_SLP1_DM1_DI_NM</v>
      </c>
      <c r="B61" s="4" t="str">
        <f>$A$3</f>
        <v>BXX_SLP1_DM1</v>
      </c>
      <c r="C61" s="4" t="str">
        <f>$A$3</f>
        <v>BXX_SLP1_DM1</v>
      </c>
      <c r="D61" s="2">
        <f t="shared" si="9"/>
        <v>12</v>
      </c>
      <c r="E61" t="s">
        <v>14</v>
      </c>
      <c r="F61" t="s">
        <v>14</v>
      </c>
      <c r="G61">
        <v>0</v>
      </c>
      <c r="H61" t="s">
        <v>13</v>
      </c>
      <c r="I61">
        <v>24</v>
      </c>
      <c r="J61" s="4" t="str">
        <f>$A$3</f>
        <v>BXX_SLP1_DM1</v>
      </c>
      <c r="K61" s="4" t="str">
        <f>$A$3</f>
        <v>BXX_SLP1_DM1</v>
      </c>
    </row>
    <row r="62" spans="1:64" x14ac:dyDescent="0.25">
      <c r="A62" t="s">
        <v>592</v>
      </c>
      <c r="B62" t="s">
        <v>127</v>
      </c>
      <c r="C62" t="s">
        <v>194</v>
      </c>
      <c r="E62" t="s">
        <v>14</v>
      </c>
      <c r="F62" t="s">
        <v>14</v>
      </c>
      <c r="G62">
        <v>0</v>
      </c>
      <c r="H62" t="s">
        <v>13</v>
      </c>
      <c r="I62">
        <v>131</v>
      </c>
    </row>
    <row r="63" spans="1:64" x14ac:dyDescent="0.25">
      <c r="A63" t="s">
        <v>593</v>
      </c>
      <c r="B63" t="s">
        <v>127</v>
      </c>
      <c r="C63" t="s">
        <v>195</v>
      </c>
      <c r="E63" t="s">
        <v>14</v>
      </c>
      <c r="F63" t="s">
        <v>14</v>
      </c>
      <c r="G63">
        <v>0</v>
      </c>
      <c r="H63" t="s">
        <v>13</v>
      </c>
      <c r="I63">
        <v>131</v>
      </c>
    </row>
    <row r="64" spans="1:64" x14ac:dyDescent="0.25">
      <c r="A64" t="s">
        <v>594</v>
      </c>
      <c r="B64" t="s">
        <v>127</v>
      </c>
      <c r="C64" t="s">
        <v>196</v>
      </c>
      <c r="E64" t="s">
        <v>14</v>
      </c>
      <c r="F64" t="s">
        <v>14</v>
      </c>
      <c r="G64">
        <v>0</v>
      </c>
      <c r="H64" t="s">
        <v>13</v>
      </c>
      <c r="I64">
        <v>131</v>
      </c>
    </row>
    <row r="65" spans="1:16" x14ac:dyDescent="0.25">
      <c r="A65" t="s">
        <v>197</v>
      </c>
      <c r="B65" t="s">
        <v>127</v>
      </c>
      <c r="C65" t="s">
        <v>198</v>
      </c>
      <c r="E65" t="s">
        <v>14</v>
      </c>
      <c r="F65" t="s">
        <v>14</v>
      </c>
      <c r="G65">
        <v>0</v>
      </c>
      <c r="H65" t="s">
        <v>13</v>
      </c>
      <c r="I65">
        <v>64</v>
      </c>
      <c r="K65" t="s">
        <v>198</v>
      </c>
    </row>
    <row r="66" spans="1:16" x14ac:dyDescent="0.25">
      <c r="A66" t="s">
        <v>130</v>
      </c>
      <c r="B66" t="s">
        <v>16</v>
      </c>
      <c r="C66" t="s">
        <v>17</v>
      </c>
      <c r="E66" t="s">
        <v>39</v>
      </c>
      <c r="F66" t="s">
        <v>18</v>
      </c>
      <c r="G66" t="s">
        <v>19</v>
      </c>
      <c r="H66" t="s">
        <v>40</v>
      </c>
      <c r="I66" t="s">
        <v>124</v>
      </c>
      <c r="J66" t="s">
        <v>125</v>
      </c>
      <c r="K66" t="s">
        <v>47</v>
      </c>
      <c r="L66" t="s">
        <v>48</v>
      </c>
      <c r="M66" t="s">
        <v>49</v>
      </c>
      <c r="N66" t="s">
        <v>50</v>
      </c>
      <c r="O66" t="s">
        <v>51</v>
      </c>
      <c r="P66" t="s">
        <v>53</v>
      </c>
    </row>
    <row r="67" spans="1:16" x14ac:dyDescent="0.25">
      <c r="A67" s="4" t="str">
        <f>$A$3&amp;"_PB_AE_RN"</f>
        <v>BXX_SLP1_DM1_PB_AE_RN</v>
      </c>
      <c r="B67" s="4" t="str">
        <f t="shared" ref="B67:B72" si="11">$A$3</f>
        <v>BXX_SLP1_DM1</v>
      </c>
      <c r="C67" s="4" t="str">
        <f>$C$3 &amp; " Alarms Disabled Reason"</f>
        <v>BXX Pump 1 Alarms Disabled Reason</v>
      </c>
      <c r="D67" s="2">
        <f t="shared" ref="D67:D115" si="12">LEN(C67)</f>
        <v>33</v>
      </c>
      <c r="E67" t="s">
        <v>14</v>
      </c>
      <c r="F67" t="s">
        <v>14</v>
      </c>
      <c r="G67">
        <v>0</v>
      </c>
      <c r="H67" t="s">
        <v>13</v>
      </c>
      <c r="I67">
        <v>131</v>
      </c>
      <c r="J67" t="s">
        <v>131</v>
      </c>
      <c r="K67" s="4" t="s">
        <v>630</v>
      </c>
      <c r="L67" t="s">
        <v>13</v>
      </c>
      <c r="M67" s="4" t="str">
        <f t="shared" ref="M67:M72" si="13">A67</f>
        <v>BXX_SLP1_DM1_PB_AE_RN</v>
      </c>
      <c r="N67" t="s">
        <v>14</v>
      </c>
      <c r="O67" s="4" t="str">
        <f t="shared" ref="O67:O72" si="14">C67</f>
        <v>BXX Pump 1 Alarms Disabled Reason</v>
      </c>
    </row>
    <row r="68" spans="1:16" x14ac:dyDescent="0.25">
      <c r="A68" s="4" t="str">
        <f>$A$3&amp;"_PB_ES_SR"</f>
        <v>BXX_SLP1_DM1_PB_ES_SR</v>
      </c>
      <c r="B68" s="4" t="str">
        <f t="shared" si="11"/>
        <v>BXX_SLP1_DM1</v>
      </c>
      <c r="C68" s="4" t="str">
        <f>$C$3&amp;" E-Stop Disabled Reason"</f>
        <v>BXX Pump 1 E-Stop Disabled Reason</v>
      </c>
      <c r="D68" s="2">
        <f t="shared" si="12"/>
        <v>33</v>
      </c>
      <c r="E68" t="s">
        <v>14</v>
      </c>
      <c r="F68" t="s">
        <v>14</v>
      </c>
      <c r="G68">
        <v>0</v>
      </c>
      <c r="H68" t="s">
        <v>13</v>
      </c>
      <c r="I68">
        <v>131</v>
      </c>
      <c r="J68" t="s">
        <v>131</v>
      </c>
      <c r="K68" s="4" t="s">
        <v>630</v>
      </c>
      <c r="L68" t="s">
        <v>13</v>
      </c>
      <c r="M68" s="4" t="str">
        <f t="shared" si="13"/>
        <v>BXX_SLP1_DM1_PB_ES_SR</v>
      </c>
      <c r="N68" t="s">
        <v>14</v>
      </c>
      <c r="O68" s="4" t="str">
        <f t="shared" si="14"/>
        <v>BXX Pump 1 E-Stop Disabled Reason</v>
      </c>
    </row>
    <row r="69" spans="1:16" x14ac:dyDescent="0.25">
      <c r="A69" s="4" t="str">
        <f>$A$3&amp;"_PB_RA_SR"</f>
        <v>BXX_SLP1_DM1_PB_RA_SR</v>
      </c>
      <c r="B69" s="4" t="str">
        <f t="shared" si="11"/>
        <v>BXX_SLP1_DM1</v>
      </c>
      <c r="C69" s="4" t="str">
        <f>$C$3&amp;" Overload Disabled Reason"</f>
        <v>BXX Pump 1 Overload Disabled Reason</v>
      </c>
      <c r="D69" s="2">
        <f t="shared" si="12"/>
        <v>35</v>
      </c>
      <c r="E69" t="s">
        <v>14</v>
      </c>
      <c r="F69" t="s">
        <v>14</v>
      </c>
      <c r="G69">
        <v>0</v>
      </c>
      <c r="H69" t="s">
        <v>13</v>
      </c>
      <c r="I69">
        <v>131</v>
      </c>
      <c r="J69" t="s">
        <v>131</v>
      </c>
      <c r="K69" s="4" t="s">
        <v>630</v>
      </c>
      <c r="L69" t="s">
        <v>13</v>
      </c>
      <c r="M69" s="4" t="str">
        <f t="shared" si="13"/>
        <v>BXX_SLP1_DM1_PB_RA_SR</v>
      </c>
      <c r="N69" t="s">
        <v>14</v>
      </c>
      <c r="O69" s="4" t="str">
        <f t="shared" si="14"/>
        <v>BXX Pump 1 Overload Disabled Reason</v>
      </c>
    </row>
    <row r="70" spans="1:16" x14ac:dyDescent="0.25">
      <c r="A70" s="4" t="str">
        <f>$A$3&amp;"_PB_DF_SR"</f>
        <v>BXX_SLP1_DM1_PB_DF_SR</v>
      </c>
      <c r="B70" s="4" t="str">
        <f t="shared" si="11"/>
        <v>BXX_SLP1_DM1</v>
      </c>
      <c r="C70" s="4" t="str">
        <f>$C$3&amp;" Not Ready Disabled Reason"</f>
        <v>BXX Pump 1 Not Ready Disabled Reason</v>
      </c>
      <c r="D70" s="2">
        <f t="shared" si="12"/>
        <v>36</v>
      </c>
      <c r="E70" t="s">
        <v>14</v>
      </c>
      <c r="F70" t="s">
        <v>14</v>
      </c>
      <c r="G70">
        <v>0</v>
      </c>
      <c r="H70" t="s">
        <v>13</v>
      </c>
      <c r="I70">
        <v>131</v>
      </c>
      <c r="J70" t="s">
        <v>131</v>
      </c>
      <c r="K70" s="4" t="s">
        <v>630</v>
      </c>
      <c r="L70" t="s">
        <v>13</v>
      </c>
      <c r="M70" s="4" t="str">
        <f t="shared" si="13"/>
        <v>BXX_SLP1_DM1_PB_DF_SR</v>
      </c>
      <c r="N70" t="s">
        <v>14</v>
      </c>
      <c r="O70" s="4" t="str">
        <f t="shared" si="14"/>
        <v>BXX Pump 1 Not Ready Disabled Reason</v>
      </c>
    </row>
    <row r="71" spans="1:16" x14ac:dyDescent="0.25">
      <c r="A71" s="4" t="str">
        <f>$A$3&amp;"_PB_GA_SR"</f>
        <v>BXX_SLP1_DM1_PB_GA_SR</v>
      </c>
      <c r="B71" s="4" t="str">
        <f t="shared" si="11"/>
        <v>BXX_SLP1_DM1</v>
      </c>
      <c r="C71" s="4" t="str">
        <f>$C$3&amp;" Soft Starter Fault Disabled Reason"</f>
        <v>BXX Pump 1 Soft Starter Fault Disabled Reason</v>
      </c>
      <c r="D71" s="2">
        <f t="shared" si="12"/>
        <v>45</v>
      </c>
      <c r="E71" t="s">
        <v>14</v>
      </c>
      <c r="F71" t="s">
        <v>14</v>
      </c>
      <c r="G71">
        <v>0</v>
      </c>
      <c r="H71" t="s">
        <v>13</v>
      </c>
      <c r="I71">
        <v>131</v>
      </c>
      <c r="J71" t="s">
        <v>131</v>
      </c>
      <c r="K71" s="4" t="s">
        <v>630</v>
      </c>
      <c r="L71" t="s">
        <v>13</v>
      </c>
      <c r="M71" s="4" t="str">
        <f t="shared" si="13"/>
        <v>BXX_SLP1_DM1_PB_GA_SR</v>
      </c>
      <c r="N71" t="s">
        <v>14</v>
      </c>
      <c r="O71" s="4" t="str">
        <f t="shared" si="14"/>
        <v>BXX Pump 1 Soft Starter Fault Disabled Reason</v>
      </c>
    </row>
    <row r="72" spans="1:16" x14ac:dyDescent="0.25">
      <c r="A72" s="4" t="str">
        <f>$A$3&amp;"_PB_TA_SR"</f>
        <v>BXX_SLP1_DM1_PB_TA_SR</v>
      </c>
      <c r="B72" s="4" t="str">
        <f t="shared" si="11"/>
        <v>BXX_SLP1_DM1</v>
      </c>
      <c r="C72" s="4" t="str">
        <f>$C$3&amp;" Temp/Leak Disabled Reason"</f>
        <v>BXX Pump 1 Temp/Leak Disabled Reason</v>
      </c>
      <c r="D72" s="2">
        <f t="shared" si="12"/>
        <v>36</v>
      </c>
      <c r="E72" t="s">
        <v>14</v>
      </c>
      <c r="F72" t="s">
        <v>14</v>
      </c>
      <c r="G72">
        <v>0</v>
      </c>
      <c r="H72" t="s">
        <v>13</v>
      </c>
      <c r="I72">
        <v>131</v>
      </c>
      <c r="J72" t="s">
        <v>131</v>
      </c>
      <c r="K72" s="4" t="s">
        <v>630</v>
      </c>
      <c r="L72" t="s">
        <v>13</v>
      </c>
      <c r="M72" s="4" t="str">
        <f t="shared" si="13"/>
        <v>BXX_SLP1_DM1_PB_TA_SR</v>
      </c>
      <c r="N72" t="s">
        <v>14</v>
      </c>
      <c r="O72" s="4" t="str">
        <f t="shared" si="14"/>
        <v>BXX Pump 1 Temp/Leak Disabled Reason</v>
      </c>
    </row>
    <row r="73" spans="1:16" x14ac:dyDescent="0.25">
      <c r="A73" t="s">
        <v>560</v>
      </c>
      <c r="B73" t="s">
        <v>16</v>
      </c>
      <c r="C73" t="s">
        <v>17</v>
      </c>
      <c r="D73" s="2">
        <f t="shared" si="12"/>
        <v>7</v>
      </c>
      <c r="E73" t="s">
        <v>18</v>
      </c>
      <c r="F73" t="s">
        <v>19</v>
      </c>
      <c r="G73" t="s">
        <v>40</v>
      </c>
      <c r="H73" t="s">
        <v>53</v>
      </c>
    </row>
    <row r="74" spans="1:16" x14ac:dyDescent="0.25">
      <c r="A74" s="5" t="s">
        <v>437</v>
      </c>
      <c r="B74" t="s">
        <v>127</v>
      </c>
      <c r="C74" t="s">
        <v>199</v>
      </c>
      <c r="D74" s="2">
        <f t="shared" si="12"/>
        <v>34</v>
      </c>
      <c r="E74" t="s">
        <v>14</v>
      </c>
      <c r="F74">
        <v>0</v>
      </c>
      <c r="G74" t="s">
        <v>14</v>
      </c>
    </row>
    <row r="75" spans="1:16" x14ac:dyDescent="0.25">
      <c r="A75" s="5" t="s">
        <v>562</v>
      </c>
      <c r="B75" t="s">
        <v>127</v>
      </c>
      <c r="C75" t="s">
        <v>200</v>
      </c>
      <c r="D75" s="2">
        <f t="shared" si="12"/>
        <v>38</v>
      </c>
      <c r="E75" t="s">
        <v>14</v>
      </c>
      <c r="F75">
        <v>0</v>
      </c>
      <c r="G75" t="s">
        <v>14</v>
      </c>
    </row>
    <row r="76" spans="1:16" x14ac:dyDescent="0.25">
      <c r="A76" s="5" t="s">
        <v>563</v>
      </c>
      <c r="B76" t="s">
        <v>127</v>
      </c>
      <c r="C76" t="s">
        <v>201</v>
      </c>
      <c r="D76" s="2">
        <f t="shared" si="12"/>
        <v>40</v>
      </c>
      <c r="E76" t="s">
        <v>14</v>
      </c>
      <c r="F76">
        <v>0</v>
      </c>
      <c r="G76" t="s">
        <v>14</v>
      </c>
    </row>
    <row r="77" spans="1:16" x14ac:dyDescent="0.25">
      <c r="A77" s="5" t="s">
        <v>564</v>
      </c>
      <c r="B77" t="s">
        <v>127</v>
      </c>
      <c r="C77" t="s">
        <v>202</v>
      </c>
      <c r="D77" s="2">
        <f t="shared" si="12"/>
        <v>28</v>
      </c>
      <c r="E77" t="s">
        <v>14</v>
      </c>
      <c r="F77">
        <v>0</v>
      </c>
      <c r="G77" t="s">
        <v>14</v>
      </c>
    </row>
    <row r="78" spans="1:16" x14ac:dyDescent="0.25">
      <c r="A78" s="5" t="s">
        <v>565</v>
      </c>
      <c r="B78" t="s">
        <v>127</v>
      </c>
      <c r="C78" t="s">
        <v>203</v>
      </c>
      <c r="D78" s="2">
        <f t="shared" si="12"/>
        <v>42</v>
      </c>
      <c r="E78" t="s">
        <v>14</v>
      </c>
      <c r="F78">
        <v>0</v>
      </c>
      <c r="G78" t="s">
        <v>14</v>
      </c>
    </row>
    <row r="79" spans="1:16" x14ac:dyDescent="0.25">
      <c r="A79" s="5" t="s">
        <v>566</v>
      </c>
      <c r="B79" t="s">
        <v>127</v>
      </c>
      <c r="C79" t="s">
        <v>204</v>
      </c>
      <c r="D79" s="2">
        <f t="shared" si="12"/>
        <v>40</v>
      </c>
      <c r="E79" t="s">
        <v>14</v>
      </c>
      <c r="F79">
        <v>0</v>
      </c>
      <c r="G79" t="s">
        <v>14</v>
      </c>
    </row>
    <row r="80" spans="1:16" x14ac:dyDescent="0.25">
      <c r="A80" s="5" t="s">
        <v>567</v>
      </c>
      <c r="B80" t="s">
        <v>127</v>
      </c>
      <c r="C80" t="s">
        <v>205</v>
      </c>
      <c r="D80" s="2">
        <f t="shared" si="12"/>
        <v>35</v>
      </c>
      <c r="E80" t="s">
        <v>14</v>
      </c>
      <c r="F80">
        <v>0</v>
      </c>
      <c r="G80" t="s">
        <v>14</v>
      </c>
    </row>
    <row r="81" spans="1:7" x14ac:dyDescent="0.25">
      <c r="A81" s="5" t="s">
        <v>568</v>
      </c>
      <c r="B81" t="s">
        <v>127</v>
      </c>
      <c r="C81" t="s">
        <v>206</v>
      </c>
      <c r="D81" s="2">
        <f t="shared" si="12"/>
        <v>30</v>
      </c>
      <c r="E81" t="s">
        <v>14</v>
      </c>
      <c r="F81">
        <v>0</v>
      </c>
      <c r="G81" t="s">
        <v>14</v>
      </c>
    </row>
    <row r="82" spans="1:7" x14ac:dyDescent="0.25">
      <c r="A82" s="5" t="s">
        <v>569</v>
      </c>
      <c r="B82" t="s">
        <v>127</v>
      </c>
      <c r="C82" t="s">
        <v>207</v>
      </c>
      <c r="D82" s="2">
        <f t="shared" si="12"/>
        <v>31</v>
      </c>
      <c r="E82" t="s">
        <v>14</v>
      </c>
      <c r="F82">
        <v>0</v>
      </c>
      <c r="G82" t="s">
        <v>14</v>
      </c>
    </row>
    <row r="83" spans="1:7" x14ac:dyDescent="0.25">
      <c r="A83" s="5" t="s">
        <v>570</v>
      </c>
      <c r="B83" t="s">
        <v>127</v>
      </c>
      <c r="C83" t="s">
        <v>208</v>
      </c>
      <c r="D83" s="2">
        <f t="shared" si="12"/>
        <v>40</v>
      </c>
      <c r="E83" t="s">
        <v>14</v>
      </c>
      <c r="F83">
        <v>0</v>
      </c>
      <c r="G83" t="s">
        <v>14</v>
      </c>
    </row>
    <row r="84" spans="1:7" x14ac:dyDescent="0.25">
      <c r="A84" s="5" t="s">
        <v>571</v>
      </c>
      <c r="B84" t="s">
        <v>127</v>
      </c>
      <c r="C84" t="s">
        <v>209</v>
      </c>
      <c r="D84" s="2">
        <f t="shared" si="12"/>
        <v>38</v>
      </c>
      <c r="E84" t="s">
        <v>14</v>
      </c>
      <c r="F84">
        <v>0</v>
      </c>
      <c r="G84" t="s">
        <v>14</v>
      </c>
    </row>
    <row r="85" spans="1:7" x14ac:dyDescent="0.25">
      <c r="A85" s="5" t="s">
        <v>572</v>
      </c>
      <c r="B85" t="s">
        <v>127</v>
      </c>
      <c r="C85" t="s">
        <v>210</v>
      </c>
      <c r="D85" s="2">
        <f t="shared" si="12"/>
        <v>38</v>
      </c>
      <c r="E85" t="s">
        <v>14</v>
      </c>
      <c r="F85">
        <v>0</v>
      </c>
      <c r="G85" t="s">
        <v>14</v>
      </c>
    </row>
    <row r="86" spans="1:7" x14ac:dyDescent="0.25">
      <c r="A86" s="5" t="s">
        <v>573</v>
      </c>
      <c r="B86" t="s">
        <v>127</v>
      </c>
      <c r="C86" t="s">
        <v>211</v>
      </c>
      <c r="D86" s="2">
        <f t="shared" si="12"/>
        <v>39</v>
      </c>
      <c r="E86" t="s">
        <v>14</v>
      </c>
      <c r="F86">
        <v>0</v>
      </c>
      <c r="G86" t="s">
        <v>14</v>
      </c>
    </row>
    <row r="87" spans="1:7" x14ac:dyDescent="0.25">
      <c r="A87" s="5" t="s">
        <v>574</v>
      </c>
      <c r="B87" t="s">
        <v>127</v>
      </c>
      <c r="C87" t="s">
        <v>212</v>
      </c>
      <c r="D87" s="2">
        <f t="shared" si="12"/>
        <v>29</v>
      </c>
      <c r="E87" t="s">
        <v>14</v>
      </c>
      <c r="F87">
        <v>0</v>
      </c>
      <c r="G87" t="s">
        <v>14</v>
      </c>
    </row>
    <row r="88" spans="1:7" x14ac:dyDescent="0.25">
      <c r="A88" s="5" t="s">
        <v>470</v>
      </c>
      <c r="B88" t="s">
        <v>127</v>
      </c>
      <c r="C88" t="s">
        <v>213</v>
      </c>
      <c r="D88" s="2">
        <f t="shared" si="12"/>
        <v>41</v>
      </c>
      <c r="E88" t="s">
        <v>14</v>
      </c>
      <c r="F88">
        <v>0</v>
      </c>
      <c r="G88" t="s">
        <v>14</v>
      </c>
    </row>
    <row r="89" spans="1:7" x14ac:dyDescent="0.25">
      <c r="A89" s="5" t="s">
        <v>471</v>
      </c>
      <c r="B89" t="s">
        <v>127</v>
      </c>
      <c r="C89" t="s">
        <v>214</v>
      </c>
      <c r="D89" s="2">
        <f t="shared" si="12"/>
        <v>43</v>
      </c>
      <c r="E89" t="s">
        <v>14</v>
      </c>
      <c r="F89">
        <v>0</v>
      </c>
      <c r="G89" t="s">
        <v>14</v>
      </c>
    </row>
    <row r="90" spans="1:7" x14ac:dyDescent="0.25">
      <c r="A90" s="5" t="s">
        <v>472</v>
      </c>
      <c r="B90" t="s">
        <v>127</v>
      </c>
      <c r="C90" t="s">
        <v>215</v>
      </c>
      <c r="D90" s="2">
        <f t="shared" si="12"/>
        <v>44</v>
      </c>
      <c r="E90" t="s">
        <v>14</v>
      </c>
      <c r="F90">
        <v>0</v>
      </c>
      <c r="G90" t="s">
        <v>14</v>
      </c>
    </row>
    <row r="91" spans="1:7" x14ac:dyDescent="0.25">
      <c r="A91" s="5" t="s">
        <v>473</v>
      </c>
      <c r="B91" t="s">
        <v>127</v>
      </c>
      <c r="C91" t="s">
        <v>216</v>
      </c>
      <c r="D91" s="2">
        <f t="shared" si="12"/>
        <v>34</v>
      </c>
      <c r="E91" t="s">
        <v>14</v>
      </c>
      <c r="F91">
        <v>0</v>
      </c>
      <c r="G91" t="s">
        <v>14</v>
      </c>
    </row>
    <row r="92" spans="1:7" x14ac:dyDescent="0.25">
      <c r="A92" s="5" t="s">
        <v>474</v>
      </c>
      <c r="B92" t="s">
        <v>127</v>
      </c>
      <c r="C92" t="s">
        <v>217</v>
      </c>
      <c r="D92" s="2">
        <f t="shared" si="12"/>
        <v>44</v>
      </c>
      <c r="E92" t="s">
        <v>14</v>
      </c>
      <c r="F92">
        <v>0</v>
      </c>
      <c r="G92" t="s">
        <v>14</v>
      </c>
    </row>
    <row r="93" spans="1:7" x14ac:dyDescent="0.25">
      <c r="A93" s="5" t="s">
        <v>475</v>
      </c>
      <c r="B93" t="s">
        <v>127</v>
      </c>
      <c r="C93" t="s">
        <v>218</v>
      </c>
      <c r="D93" s="2">
        <f t="shared" si="12"/>
        <v>33</v>
      </c>
      <c r="E93" t="s">
        <v>14</v>
      </c>
      <c r="F93">
        <v>0</v>
      </c>
      <c r="G93" t="s">
        <v>14</v>
      </c>
    </row>
    <row r="94" spans="1:7" x14ac:dyDescent="0.25">
      <c r="A94" s="5" t="s">
        <v>476</v>
      </c>
      <c r="B94" t="s">
        <v>127</v>
      </c>
      <c r="C94" t="s">
        <v>219</v>
      </c>
      <c r="D94" s="2">
        <f t="shared" si="12"/>
        <v>35</v>
      </c>
      <c r="E94" t="s">
        <v>14</v>
      </c>
      <c r="F94">
        <v>0</v>
      </c>
      <c r="G94" t="s">
        <v>14</v>
      </c>
    </row>
    <row r="95" spans="1:7" x14ac:dyDescent="0.25">
      <c r="A95" s="5" t="s">
        <v>477</v>
      </c>
      <c r="B95" t="s">
        <v>127</v>
      </c>
      <c r="C95" t="s">
        <v>220</v>
      </c>
      <c r="D95" s="2">
        <f t="shared" si="12"/>
        <v>38</v>
      </c>
      <c r="E95" t="s">
        <v>14</v>
      </c>
      <c r="F95">
        <v>0</v>
      </c>
      <c r="G95" t="s">
        <v>14</v>
      </c>
    </row>
    <row r="96" spans="1:7" x14ac:dyDescent="0.25">
      <c r="A96" s="5" t="s">
        <v>478</v>
      </c>
      <c r="B96" t="s">
        <v>127</v>
      </c>
      <c r="C96" t="s">
        <v>221</v>
      </c>
      <c r="D96" s="2">
        <f t="shared" si="12"/>
        <v>37</v>
      </c>
      <c r="E96" t="s">
        <v>14</v>
      </c>
      <c r="F96">
        <v>0</v>
      </c>
      <c r="G96" t="s">
        <v>14</v>
      </c>
    </row>
    <row r="97" spans="1:8" x14ac:dyDescent="0.25">
      <c r="A97" s="5" t="s">
        <v>479</v>
      </c>
      <c r="B97" t="s">
        <v>127</v>
      </c>
      <c r="C97" t="s">
        <v>222</v>
      </c>
      <c r="D97" s="2">
        <f t="shared" si="12"/>
        <v>40</v>
      </c>
      <c r="E97" t="s">
        <v>14</v>
      </c>
      <c r="F97">
        <v>0</v>
      </c>
      <c r="G97" t="s">
        <v>14</v>
      </c>
    </row>
    <row r="98" spans="1:8" x14ac:dyDescent="0.25">
      <c r="A98" s="5" t="s">
        <v>576</v>
      </c>
      <c r="B98" t="s">
        <v>127</v>
      </c>
      <c r="C98" t="s">
        <v>223</v>
      </c>
      <c r="D98" s="2">
        <f t="shared" si="12"/>
        <v>41</v>
      </c>
      <c r="E98" t="s">
        <v>14</v>
      </c>
      <c r="F98">
        <v>0</v>
      </c>
      <c r="G98" t="s">
        <v>14</v>
      </c>
    </row>
    <row r="99" spans="1:8" x14ac:dyDescent="0.25">
      <c r="A99" s="5" t="s">
        <v>577</v>
      </c>
      <c r="B99" t="s">
        <v>127</v>
      </c>
      <c r="C99" t="s">
        <v>224</v>
      </c>
      <c r="D99" s="2">
        <f t="shared" si="12"/>
        <v>36</v>
      </c>
      <c r="E99" t="s">
        <v>14</v>
      </c>
      <c r="F99">
        <v>0</v>
      </c>
      <c r="G99" t="s">
        <v>14</v>
      </c>
    </row>
    <row r="100" spans="1:8" x14ac:dyDescent="0.25">
      <c r="A100" s="5" t="s">
        <v>578</v>
      </c>
      <c r="B100" t="s">
        <v>127</v>
      </c>
      <c r="C100" t="s">
        <v>225</v>
      </c>
      <c r="D100" s="2">
        <f t="shared" si="12"/>
        <v>48</v>
      </c>
      <c r="E100" t="s">
        <v>14</v>
      </c>
      <c r="F100">
        <v>0</v>
      </c>
      <c r="G100" t="s">
        <v>14</v>
      </c>
    </row>
    <row r="101" spans="1:8" x14ac:dyDescent="0.25">
      <c r="A101" s="5" t="s">
        <v>579</v>
      </c>
      <c r="B101" t="s">
        <v>127</v>
      </c>
      <c r="C101" t="s">
        <v>226</v>
      </c>
      <c r="D101" s="2">
        <f t="shared" si="12"/>
        <v>40</v>
      </c>
      <c r="E101" t="s">
        <v>14</v>
      </c>
      <c r="F101">
        <v>0</v>
      </c>
      <c r="G101" t="s">
        <v>14</v>
      </c>
    </row>
    <row r="102" spans="1:8" x14ac:dyDescent="0.25">
      <c r="A102" s="5" t="s">
        <v>580</v>
      </c>
      <c r="B102" t="s">
        <v>127</v>
      </c>
      <c r="C102" t="s">
        <v>227</v>
      </c>
      <c r="D102" s="2">
        <f t="shared" si="12"/>
        <v>43</v>
      </c>
      <c r="E102" t="s">
        <v>14</v>
      </c>
      <c r="F102">
        <v>0</v>
      </c>
      <c r="G102" t="s">
        <v>14</v>
      </c>
    </row>
    <row r="103" spans="1:8" x14ac:dyDescent="0.25">
      <c r="A103" s="5" t="s">
        <v>581</v>
      </c>
      <c r="B103" t="s">
        <v>127</v>
      </c>
      <c r="C103" t="s">
        <v>228</v>
      </c>
      <c r="D103" s="2">
        <f t="shared" si="12"/>
        <v>47</v>
      </c>
      <c r="E103" t="s">
        <v>14</v>
      </c>
      <c r="F103">
        <v>0</v>
      </c>
      <c r="G103" t="s">
        <v>14</v>
      </c>
    </row>
    <row r="104" spans="1:8" x14ac:dyDescent="0.25">
      <c r="A104" t="s">
        <v>561</v>
      </c>
      <c r="B104" t="s">
        <v>16</v>
      </c>
      <c r="C104" t="s">
        <v>17</v>
      </c>
      <c r="D104" s="2">
        <f t="shared" si="12"/>
        <v>7</v>
      </c>
      <c r="E104" t="s">
        <v>18</v>
      </c>
      <c r="F104" t="s">
        <v>19</v>
      </c>
      <c r="G104" t="s">
        <v>40</v>
      </c>
      <c r="H104" t="s">
        <v>53</v>
      </c>
    </row>
    <row r="105" spans="1:8" x14ac:dyDescent="0.25">
      <c r="A105" s="5" t="s">
        <v>229</v>
      </c>
      <c r="B105" t="s">
        <v>127</v>
      </c>
      <c r="C105" t="s">
        <v>230</v>
      </c>
      <c r="D105" s="2">
        <f t="shared" si="12"/>
        <v>42</v>
      </c>
      <c r="E105" t="s">
        <v>14</v>
      </c>
      <c r="F105">
        <v>0</v>
      </c>
      <c r="G105" t="s">
        <v>14</v>
      </c>
    </row>
    <row r="106" spans="1:8" x14ac:dyDescent="0.25">
      <c r="A106" s="5" t="s">
        <v>231</v>
      </c>
      <c r="B106" t="s">
        <v>127</v>
      </c>
      <c r="C106" t="s">
        <v>232</v>
      </c>
      <c r="D106" s="2">
        <f t="shared" si="12"/>
        <v>42</v>
      </c>
      <c r="E106" t="s">
        <v>14</v>
      </c>
      <c r="F106">
        <v>0</v>
      </c>
      <c r="G106" t="s">
        <v>14</v>
      </c>
    </row>
    <row r="107" spans="1:8" x14ac:dyDescent="0.25">
      <c r="A107" s="5" t="s">
        <v>233</v>
      </c>
      <c r="B107" t="s">
        <v>127</v>
      </c>
      <c r="C107" t="s">
        <v>234</v>
      </c>
      <c r="D107" s="2">
        <f t="shared" si="12"/>
        <v>37</v>
      </c>
      <c r="E107" t="s">
        <v>14</v>
      </c>
      <c r="F107">
        <v>0</v>
      </c>
      <c r="G107" t="s">
        <v>14</v>
      </c>
    </row>
    <row r="108" spans="1:8" x14ac:dyDescent="0.25">
      <c r="A108" s="5" t="s">
        <v>504</v>
      </c>
      <c r="B108" t="s">
        <v>127</v>
      </c>
      <c r="C108" t="s">
        <v>235</v>
      </c>
      <c r="D108" s="2">
        <f t="shared" si="12"/>
        <v>33</v>
      </c>
      <c r="E108" t="s">
        <v>14</v>
      </c>
      <c r="F108">
        <v>0</v>
      </c>
      <c r="G108" t="s">
        <v>14</v>
      </c>
    </row>
    <row r="109" spans="1:8" x14ac:dyDescent="0.25">
      <c r="A109" s="5" t="s">
        <v>505</v>
      </c>
      <c r="B109" t="s">
        <v>127</v>
      </c>
      <c r="C109" t="s">
        <v>236</v>
      </c>
      <c r="D109" s="2">
        <f t="shared" si="12"/>
        <v>44</v>
      </c>
      <c r="E109" t="s">
        <v>14</v>
      </c>
      <c r="F109">
        <v>0</v>
      </c>
      <c r="G109" t="s">
        <v>14</v>
      </c>
    </row>
    <row r="110" spans="1:8" x14ac:dyDescent="0.25">
      <c r="A110" s="5" t="s">
        <v>491</v>
      </c>
      <c r="B110" t="s">
        <v>127</v>
      </c>
      <c r="C110" t="s">
        <v>237</v>
      </c>
      <c r="D110" s="2">
        <f t="shared" si="12"/>
        <v>41</v>
      </c>
      <c r="E110" t="s">
        <v>14</v>
      </c>
      <c r="F110">
        <v>0</v>
      </c>
      <c r="G110" t="s">
        <v>14</v>
      </c>
    </row>
    <row r="111" spans="1:8" x14ac:dyDescent="0.25">
      <c r="A111" s="5" t="s">
        <v>492</v>
      </c>
      <c r="B111" t="s">
        <v>127</v>
      </c>
      <c r="C111" t="s">
        <v>238</v>
      </c>
      <c r="D111" s="2">
        <f t="shared" si="12"/>
        <v>37</v>
      </c>
      <c r="E111" t="s">
        <v>14</v>
      </c>
      <c r="F111">
        <v>0</v>
      </c>
      <c r="G111" t="s">
        <v>14</v>
      </c>
    </row>
    <row r="112" spans="1:8" x14ac:dyDescent="0.25">
      <c r="A112" s="5" t="s">
        <v>575</v>
      </c>
      <c r="B112" t="s">
        <v>127</v>
      </c>
      <c r="C112" t="s">
        <v>239</v>
      </c>
      <c r="D112" s="2">
        <f t="shared" si="12"/>
        <v>23</v>
      </c>
      <c r="E112" t="s">
        <v>14</v>
      </c>
      <c r="F112">
        <v>0</v>
      </c>
      <c r="G112" t="s">
        <v>14</v>
      </c>
    </row>
    <row r="113" spans="1:7" x14ac:dyDescent="0.25">
      <c r="A113" s="5" t="s">
        <v>617</v>
      </c>
      <c r="B113" t="s">
        <v>127</v>
      </c>
      <c r="C113" t="s">
        <v>240</v>
      </c>
      <c r="D113" s="2">
        <f t="shared" si="12"/>
        <v>31</v>
      </c>
      <c r="E113" t="s">
        <v>14</v>
      </c>
      <c r="F113">
        <v>0</v>
      </c>
      <c r="G113" t="s">
        <v>14</v>
      </c>
    </row>
    <row r="114" spans="1:7" x14ac:dyDescent="0.25">
      <c r="A114" s="5" t="s">
        <v>618</v>
      </c>
      <c r="B114" t="s">
        <v>127</v>
      </c>
      <c r="C114" t="s">
        <v>241</v>
      </c>
      <c r="D114" s="2">
        <f t="shared" si="12"/>
        <v>31</v>
      </c>
      <c r="E114" t="s">
        <v>14</v>
      </c>
      <c r="F114">
        <v>0</v>
      </c>
      <c r="G114" t="s">
        <v>14</v>
      </c>
    </row>
    <row r="115" spans="1:7" x14ac:dyDescent="0.25">
      <c r="A115" s="5" t="s">
        <v>619</v>
      </c>
      <c r="B115" t="s">
        <v>127</v>
      </c>
      <c r="C115" t="s">
        <v>242</v>
      </c>
      <c r="D115" s="2">
        <f t="shared" si="12"/>
        <v>42</v>
      </c>
      <c r="E115" t="s">
        <v>14</v>
      </c>
      <c r="F115">
        <v>0</v>
      </c>
      <c r="G115" t="s">
        <v>14</v>
      </c>
    </row>
    <row r="116" spans="1:7" x14ac:dyDescent="0.25">
      <c r="A116" s="5" t="s">
        <v>620</v>
      </c>
      <c r="B116" t="s">
        <v>127</v>
      </c>
      <c r="C116" t="s">
        <v>243</v>
      </c>
      <c r="D116" s="2">
        <f t="shared" ref="D116:D135" si="15">LEN(C116)</f>
        <v>45</v>
      </c>
      <c r="E116" t="s">
        <v>14</v>
      </c>
      <c r="F116">
        <v>0</v>
      </c>
      <c r="G116" t="s">
        <v>14</v>
      </c>
    </row>
    <row r="117" spans="1:7" x14ac:dyDescent="0.25">
      <c r="A117" s="5" t="s">
        <v>621</v>
      </c>
      <c r="B117" t="s">
        <v>127</v>
      </c>
      <c r="C117" t="s">
        <v>244</v>
      </c>
      <c r="D117" s="2">
        <f t="shared" si="15"/>
        <v>48</v>
      </c>
      <c r="E117" t="s">
        <v>14</v>
      </c>
      <c r="F117">
        <v>0</v>
      </c>
      <c r="G117" t="s">
        <v>14</v>
      </c>
    </row>
    <row r="118" spans="1:7" x14ac:dyDescent="0.25">
      <c r="A118" s="5" t="s">
        <v>582</v>
      </c>
      <c r="B118" t="s">
        <v>127</v>
      </c>
      <c r="C118" t="s">
        <v>245</v>
      </c>
      <c r="D118" s="2">
        <f t="shared" si="15"/>
        <v>49</v>
      </c>
      <c r="E118" t="s">
        <v>14</v>
      </c>
      <c r="F118">
        <v>0</v>
      </c>
      <c r="G118" t="s">
        <v>14</v>
      </c>
    </row>
    <row r="119" spans="1:7" x14ac:dyDescent="0.25">
      <c r="A119" s="5" t="s">
        <v>583</v>
      </c>
      <c r="B119" t="s">
        <v>127</v>
      </c>
      <c r="C119" t="s">
        <v>246</v>
      </c>
      <c r="D119" s="2">
        <f t="shared" si="15"/>
        <v>49</v>
      </c>
      <c r="E119" t="s">
        <v>14</v>
      </c>
      <c r="F119">
        <v>0</v>
      </c>
      <c r="G119" t="s">
        <v>14</v>
      </c>
    </row>
    <row r="120" spans="1:7" x14ac:dyDescent="0.25">
      <c r="A120" s="5" t="s">
        <v>584</v>
      </c>
      <c r="B120" t="s">
        <v>127</v>
      </c>
      <c r="C120" t="s">
        <v>234</v>
      </c>
      <c r="D120" s="2">
        <f t="shared" si="15"/>
        <v>37</v>
      </c>
      <c r="E120" t="s">
        <v>14</v>
      </c>
      <c r="F120">
        <v>0</v>
      </c>
      <c r="G120" t="s">
        <v>14</v>
      </c>
    </row>
    <row r="121" spans="1:7" x14ac:dyDescent="0.25">
      <c r="A121" s="5" t="s">
        <v>585</v>
      </c>
      <c r="B121" t="s">
        <v>127</v>
      </c>
      <c r="C121" t="s">
        <v>247</v>
      </c>
      <c r="D121" s="2">
        <f t="shared" si="15"/>
        <v>28</v>
      </c>
      <c r="E121" t="s">
        <v>14</v>
      </c>
      <c r="F121">
        <v>0</v>
      </c>
      <c r="G121" t="s">
        <v>14</v>
      </c>
    </row>
    <row r="122" spans="1:7" x14ac:dyDescent="0.25">
      <c r="A122" s="5" t="s">
        <v>586</v>
      </c>
      <c r="B122" t="s">
        <v>127</v>
      </c>
      <c r="C122" t="s">
        <v>248</v>
      </c>
      <c r="D122" s="2">
        <f t="shared" si="15"/>
        <v>48</v>
      </c>
      <c r="E122" t="s">
        <v>14</v>
      </c>
      <c r="F122">
        <v>0</v>
      </c>
      <c r="G122" t="s">
        <v>14</v>
      </c>
    </row>
    <row r="123" spans="1:7" x14ac:dyDescent="0.25">
      <c r="A123" s="5" t="s">
        <v>587</v>
      </c>
      <c r="B123" t="s">
        <v>127</v>
      </c>
      <c r="C123" t="s">
        <v>249</v>
      </c>
      <c r="D123" s="2">
        <f t="shared" si="15"/>
        <v>42</v>
      </c>
      <c r="E123" t="s">
        <v>14</v>
      </c>
      <c r="F123">
        <v>0</v>
      </c>
      <c r="G123" t="s">
        <v>14</v>
      </c>
    </row>
    <row r="124" spans="1:7" x14ac:dyDescent="0.25">
      <c r="A124" s="5" t="s">
        <v>588</v>
      </c>
      <c r="B124" t="s">
        <v>127</v>
      </c>
      <c r="C124" t="s">
        <v>250</v>
      </c>
      <c r="D124" s="2">
        <f t="shared" si="15"/>
        <v>45</v>
      </c>
      <c r="E124" t="s">
        <v>14</v>
      </c>
      <c r="F124">
        <v>0</v>
      </c>
      <c r="G124" t="s">
        <v>14</v>
      </c>
    </row>
    <row r="125" spans="1:7" x14ac:dyDescent="0.25">
      <c r="A125" s="5" t="s">
        <v>589</v>
      </c>
      <c r="B125" t="s">
        <v>127</v>
      </c>
      <c r="C125" t="s">
        <v>251</v>
      </c>
      <c r="D125" s="2">
        <f t="shared" si="15"/>
        <v>38</v>
      </c>
      <c r="E125" t="s">
        <v>14</v>
      </c>
      <c r="F125">
        <v>0</v>
      </c>
      <c r="G125" t="s">
        <v>14</v>
      </c>
    </row>
    <row r="126" spans="1:7" x14ac:dyDescent="0.25">
      <c r="A126" s="5" t="s">
        <v>623</v>
      </c>
      <c r="B126" t="s">
        <v>127</v>
      </c>
      <c r="C126" t="s">
        <v>252</v>
      </c>
      <c r="D126" s="2">
        <f t="shared" si="15"/>
        <v>39</v>
      </c>
      <c r="E126" t="s">
        <v>14</v>
      </c>
      <c r="F126">
        <v>0</v>
      </c>
      <c r="G126" t="s">
        <v>14</v>
      </c>
    </row>
    <row r="127" spans="1:7" x14ac:dyDescent="0.25">
      <c r="A127" s="5" t="s">
        <v>624</v>
      </c>
      <c r="B127" t="s">
        <v>127</v>
      </c>
      <c r="C127" t="s">
        <v>253</v>
      </c>
      <c r="D127" s="2">
        <f t="shared" si="15"/>
        <v>34</v>
      </c>
      <c r="E127" t="s">
        <v>14</v>
      </c>
      <c r="F127">
        <v>0</v>
      </c>
      <c r="G127" t="s">
        <v>14</v>
      </c>
    </row>
    <row r="128" spans="1:7" x14ac:dyDescent="0.25">
      <c r="A128" s="5" t="s">
        <v>625</v>
      </c>
      <c r="B128" t="s">
        <v>127</v>
      </c>
      <c r="C128" t="s">
        <v>254</v>
      </c>
      <c r="D128" s="2">
        <f t="shared" si="15"/>
        <v>44</v>
      </c>
      <c r="E128" t="s">
        <v>14</v>
      </c>
      <c r="F128">
        <v>0</v>
      </c>
      <c r="G128" t="s">
        <v>14</v>
      </c>
    </row>
    <row r="129" spans="1:8" x14ac:dyDescent="0.25">
      <c r="A129" s="5" t="s">
        <v>626</v>
      </c>
      <c r="B129" t="s">
        <v>127</v>
      </c>
      <c r="C129" t="s">
        <v>255</v>
      </c>
      <c r="D129" s="2">
        <f t="shared" si="15"/>
        <v>43</v>
      </c>
      <c r="E129" t="s">
        <v>14</v>
      </c>
      <c r="F129">
        <v>0</v>
      </c>
      <c r="G129" t="s">
        <v>14</v>
      </c>
    </row>
    <row r="130" spans="1:8" x14ac:dyDescent="0.25">
      <c r="A130" s="5" t="s">
        <v>622</v>
      </c>
      <c r="B130" t="s">
        <v>127</v>
      </c>
      <c r="C130" t="s">
        <v>256</v>
      </c>
      <c r="D130" s="2">
        <f t="shared" si="15"/>
        <v>41</v>
      </c>
      <c r="E130" t="s">
        <v>14</v>
      </c>
      <c r="F130">
        <v>0</v>
      </c>
      <c r="G130" t="s">
        <v>14</v>
      </c>
    </row>
    <row r="131" spans="1:8" x14ac:dyDescent="0.25">
      <c r="A131" s="5" t="s">
        <v>591</v>
      </c>
      <c r="B131" t="s">
        <v>127</v>
      </c>
      <c r="C131" t="s">
        <v>257</v>
      </c>
      <c r="D131" s="2">
        <f t="shared" si="15"/>
        <v>39</v>
      </c>
      <c r="E131" t="s">
        <v>14</v>
      </c>
      <c r="F131">
        <v>0</v>
      </c>
      <c r="G131" t="s">
        <v>14</v>
      </c>
    </row>
    <row r="132" spans="1:8" x14ac:dyDescent="0.25">
      <c r="A132" t="s">
        <v>559</v>
      </c>
      <c r="B132" t="s">
        <v>16</v>
      </c>
      <c r="C132" t="s">
        <v>17</v>
      </c>
      <c r="D132" s="2">
        <f t="shared" si="15"/>
        <v>7</v>
      </c>
      <c r="E132" t="s">
        <v>18</v>
      </c>
      <c r="F132" t="s">
        <v>19</v>
      </c>
      <c r="G132" t="s">
        <v>40</v>
      </c>
      <c r="H132" t="s">
        <v>53</v>
      </c>
    </row>
    <row r="133" spans="1:8" x14ac:dyDescent="0.25">
      <c r="A133" t="s">
        <v>258</v>
      </c>
      <c r="B133" t="s">
        <v>127</v>
      </c>
      <c r="C133" t="s">
        <v>259</v>
      </c>
      <c r="D133" s="2">
        <f t="shared" si="15"/>
        <v>36</v>
      </c>
      <c r="E133" t="s">
        <v>14</v>
      </c>
      <c r="F133">
        <v>0</v>
      </c>
      <c r="G133" t="s">
        <v>14</v>
      </c>
    </row>
    <row r="134" spans="1:8" x14ac:dyDescent="0.25">
      <c r="A134" t="s">
        <v>165</v>
      </c>
      <c r="B134" t="s">
        <v>16</v>
      </c>
      <c r="C134" t="s">
        <v>17</v>
      </c>
      <c r="D134" s="2">
        <f t="shared" si="15"/>
        <v>7</v>
      </c>
      <c r="E134" t="s">
        <v>53</v>
      </c>
    </row>
    <row r="135" spans="1:8" x14ac:dyDescent="0.25">
      <c r="A135" t="s">
        <v>590</v>
      </c>
      <c r="B135" t="s">
        <v>127</v>
      </c>
      <c r="C135" t="s">
        <v>260</v>
      </c>
      <c r="D135" s="2">
        <f t="shared" si="15"/>
        <v>21</v>
      </c>
    </row>
  </sheetData>
  <conditionalFormatting sqref="D28:D34 D12 D15:D25 D54:D56 D5 D7:D9 D36 D67:D135 D58:D65">
    <cfRule type="cellIs" dxfId="162" priority="106" operator="greaterThan">
      <formula>49</formula>
    </cfRule>
  </conditionalFormatting>
  <conditionalFormatting sqref="D11">
    <cfRule type="cellIs" dxfId="161" priority="102" operator="greaterThan">
      <formula>49</formula>
    </cfRule>
  </conditionalFormatting>
  <conditionalFormatting sqref="D3:D4">
    <cfRule type="cellIs" dxfId="160" priority="101" operator="greaterThan">
      <formula>49</formula>
    </cfRule>
  </conditionalFormatting>
  <conditionalFormatting sqref="D26">
    <cfRule type="cellIs" dxfId="159" priority="92" operator="greaterThan">
      <formula>49</formula>
    </cfRule>
  </conditionalFormatting>
  <conditionalFormatting sqref="D27">
    <cfRule type="cellIs" dxfId="158" priority="91" operator="greaterThan">
      <formula>49</formula>
    </cfRule>
  </conditionalFormatting>
  <conditionalFormatting sqref="D10">
    <cfRule type="cellIs" dxfId="157" priority="90" operator="greaterThan">
      <formula>49</formula>
    </cfRule>
  </conditionalFormatting>
  <conditionalFormatting sqref="D13">
    <cfRule type="cellIs" dxfId="156" priority="86" operator="greaterThan">
      <formula>49</formula>
    </cfRule>
  </conditionalFormatting>
  <conditionalFormatting sqref="D14">
    <cfRule type="cellIs" dxfId="155" priority="82" operator="greaterThan">
      <formula>49</formula>
    </cfRule>
  </conditionalFormatting>
  <conditionalFormatting sqref="D35">
    <cfRule type="cellIs" dxfId="154" priority="78" operator="greaterThan">
      <formula>49</formula>
    </cfRule>
  </conditionalFormatting>
  <conditionalFormatting sqref="D39">
    <cfRule type="cellIs" dxfId="153" priority="39" operator="greaterThan">
      <formula>49</formula>
    </cfRule>
  </conditionalFormatting>
  <conditionalFormatting sqref="D38">
    <cfRule type="cellIs" dxfId="152" priority="38" operator="greaterThan">
      <formula>49</formula>
    </cfRule>
  </conditionalFormatting>
  <conditionalFormatting sqref="D37">
    <cfRule type="cellIs" dxfId="151" priority="37" operator="greaterThan">
      <formula>49</formula>
    </cfRule>
  </conditionalFormatting>
  <conditionalFormatting sqref="D40">
    <cfRule type="cellIs" dxfId="150" priority="33" operator="greaterThan">
      <formula>49</formula>
    </cfRule>
  </conditionalFormatting>
  <conditionalFormatting sqref="D41">
    <cfRule type="cellIs" dxfId="149" priority="29" operator="greaterThan">
      <formula>49</formula>
    </cfRule>
  </conditionalFormatting>
  <conditionalFormatting sqref="D44">
    <cfRule type="cellIs" dxfId="148" priority="26" operator="greaterThan">
      <formula>49</formula>
    </cfRule>
  </conditionalFormatting>
  <conditionalFormatting sqref="D43">
    <cfRule type="cellIs" dxfId="147" priority="25" operator="greaterThan">
      <formula>49</formula>
    </cfRule>
  </conditionalFormatting>
  <conditionalFormatting sqref="D42">
    <cfRule type="cellIs" dxfId="146" priority="24" operator="greaterThan">
      <formula>49</formula>
    </cfRule>
  </conditionalFormatting>
  <conditionalFormatting sqref="D45">
    <cfRule type="cellIs" dxfId="145" priority="22" operator="greaterThan">
      <formula>49</formula>
    </cfRule>
  </conditionalFormatting>
  <conditionalFormatting sqref="D46">
    <cfRule type="cellIs" dxfId="144" priority="20" operator="greaterThan">
      <formula>49</formula>
    </cfRule>
  </conditionalFormatting>
  <conditionalFormatting sqref="D47">
    <cfRule type="cellIs" dxfId="143" priority="16" operator="greaterThan">
      <formula>49</formula>
    </cfRule>
  </conditionalFormatting>
  <conditionalFormatting sqref="D50">
    <cfRule type="cellIs" dxfId="142" priority="13" operator="greaterThan">
      <formula>49</formula>
    </cfRule>
  </conditionalFormatting>
  <conditionalFormatting sqref="D49">
    <cfRule type="cellIs" dxfId="141" priority="12" operator="greaterThan">
      <formula>49</formula>
    </cfRule>
  </conditionalFormatting>
  <conditionalFormatting sqref="D48">
    <cfRule type="cellIs" dxfId="140" priority="11" operator="greaterThan">
      <formula>49</formula>
    </cfRule>
  </conditionalFormatting>
  <conditionalFormatting sqref="D51">
    <cfRule type="cellIs" dxfId="139" priority="7" operator="greaterThan">
      <formula>49</formula>
    </cfRule>
  </conditionalFormatting>
  <conditionalFormatting sqref="D52">
    <cfRule type="cellIs" dxfId="138" priority="3" operator="greaterThan">
      <formula>49</formula>
    </cfRule>
  </conditionalFormatting>
  <conditionalFormatting sqref="D57">
    <cfRule type="cellIs" dxfId="137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4"/>
  <sheetViews>
    <sheetView view="pageBreakPreview" topLeftCell="E70" zoomScale="110" zoomScaleNormal="100" zoomScaleSheetLayoutView="110" workbookViewId="0">
      <selection activeCell="K86" sqref="K86"/>
    </sheetView>
  </sheetViews>
  <sheetFormatPr defaultRowHeight="15" x14ac:dyDescent="0.25"/>
  <cols>
    <col min="1" max="1" width="23" bestFit="1" customWidth="1"/>
    <col min="2" max="2" width="14.5703125" bestFit="1" customWidth="1"/>
    <col min="3" max="3" width="41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2851562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71093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438</v>
      </c>
      <c r="B3" s="4" t="str">
        <f>BXXPLC1!A5</f>
        <v>BXX</v>
      </c>
      <c r="C3" s="3" t="s">
        <v>270</v>
      </c>
      <c r="D3" s="2">
        <f>LEN(C3)</f>
        <v>10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4" t="s">
        <v>417</v>
      </c>
      <c r="B5" s="4" t="str">
        <f>$A$3</f>
        <v>BXX_SLP2_VF1</v>
      </c>
      <c r="C5" s="4" t="str">
        <f>C3 &amp; " Speed"</f>
        <v>BXX Pump 2 Speed</v>
      </c>
      <c r="D5" s="2">
        <f>LEN(C5)</f>
        <v>16</v>
      </c>
      <c r="E5" t="s">
        <v>13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t="s">
        <v>436</v>
      </c>
      <c r="B6" t="s">
        <v>16</v>
      </c>
      <c r="C6" t="s">
        <v>17</v>
      </c>
      <c r="E6" t="s">
        <v>39</v>
      </c>
      <c r="F6" t="s">
        <v>18</v>
      </c>
      <c r="G6" t="s">
        <v>19</v>
      </c>
      <c r="H6" t="s">
        <v>40</v>
      </c>
      <c r="I6" t="s">
        <v>41</v>
      </c>
      <c r="J6" t="s">
        <v>42</v>
      </c>
      <c r="K6" t="s">
        <v>43</v>
      </c>
      <c r="L6" t="s">
        <v>44</v>
      </c>
      <c r="M6" t="s">
        <v>45</v>
      </c>
      <c r="N6" t="s">
        <v>51</v>
      </c>
      <c r="O6" t="s">
        <v>52</v>
      </c>
      <c r="P6" t="s">
        <v>27</v>
      </c>
      <c r="Q6" t="s">
        <v>35</v>
      </c>
      <c r="R6" t="s">
        <v>53</v>
      </c>
    </row>
    <row r="7" spans="1:23" x14ac:dyDescent="0.25">
      <c r="A7" s="5" t="s">
        <v>425</v>
      </c>
      <c r="B7" t="s">
        <v>16</v>
      </c>
      <c r="C7" t="s">
        <v>17</v>
      </c>
      <c r="E7" t="s">
        <v>39</v>
      </c>
      <c r="F7" t="s">
        <v>18</v>
      </c>
      <c r="G7" t="s">
        <v>19</v>
      </c>
      <c r="H7" t="s">
        <v>40</v>
      </c>
      <c r="I7" t="s">
        <v>41</v>
      </c>
      <c r="J7" t="s">
        <v>42</v>
      </c>
      <c r="K7" t="s">
        <v>43</v>
      </c>
      <c r="L7" t="s">
        <v>44</v>
      </c>
      <c r="M7" t="s">
        <v>45</v>
      </c>
      <c r="N7" t="s">
        <v>46</v>
      </c>
      <c r="O7" t="s">
        <v>47</v>
      </c>
      <c r="P7" t="s">
        <v>48</v>
      </c>
      <c r="Q7" t="s">
        <v>49</v>
      </c>
      <c r="R7" t="s">
        <v>50</v>
      </c>
      <c r="S7" t="s">
        <v>51</v>
      </c>
      <c r="T7" t="s">
        <v>52</v>
      </c>
      <c r="U7" t="s">
        <v>27</v>
      </c>
      <c r="V7" t="s">
        <v>35</v>
      </c>
      <c r="W7" t="s">
        <v>53</v>
      </c>
    </row>
    <row r="8" spans="1:23" x14ac:dyDescent="0.25">
      <c r="A8" s="4" t="str">
        <f>$A$3&amp;"_DI_AD"</f>
        <v>BXX_SLP2_VF1_DI_AD</v>
      </c>
      <c r="B8" s="4" t="str">
        <f>A4</f>
        <v>BXX_DSAB</v>
      </c>
      <c r="C8" s="4" t="str">
        <f>$C$3 &amp; " Disabled Alarm"</f>
        <v>BXX Pump 2 Disabled Alarm</v>
      </c>
      <c r="D8" s="2">
        <f>LEN(C8)</f>
        <v>25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54</v>
      </c>
      <c r="K8" t="s">
        <v>61</v>
      </c>
      <c r="L8" t="s">
        <v>61</v>
      </c>
      <c r="M8" s="5">
        <v>98</v>
      </c>
      <c r="N8" t="s">
        <v>57</v>
      </c>
      <c r="O8" s="4" t="str">
        <f>BXXPLC1!C3</f>
        <v>BXX</v>
      </c>
      <c r="P8" t="s">
        <v>14</v>
      </c>
      <c r="Q8" s="4" t="str">
        <f>$A$3&amp;".DI_AD"</f>
        <v>BXX_SLP2_VF1.DI_AD</v>
      </c>
      <c r="R8" t="s">
        <v>14</v>
      </c>
      <c r="S8" s="4" t="str">
        <f t="shared" ref="S8:S44" si="0">C8</f>
        <v>BXX Pump 2 Disabled Alarm</v>
      </c>
      <c r="T8">
        <v>0</v>
      </c>
      <c r="U8">
        <v>0</v>
      </c>
    </row>
    <row r="9" spans="1:23" x14ac:dyDescent="0.25">
      <c r="A9" s="4" t="str">
        <f>$A$3&amp;"_DI_CL"</f>
        <v>BXX_SLP2_VF1_DI_CL</v>
      </c>
      <c r="B9" s="4" t="str">
        <f>$A$3</f>
        <v>BXX_SLP2_VF1</v>
      </c>
      <c r="C9" s="4" t="str">
        <f>$C$3&amp;" Control Mode"</f>
        <v>BXX Pump 2 Control Mode</v>
      </c>
      <c r="D9" s="2">
        <f t="shared" ref="D9:D44" si="1">LEN(C9)</f>
        <v>23</v>
      </c>
      <c r="E9" t="s">
        <v>14</v>
      </c>
      <c r="F9" t="s">
        <v>13</v>
      </c>
      <c r="G9" s="5">
        <v>700</v>
      </c>
      <c r="H9" t="s">
        <v>13</v>
      </c>
      <c r="I9" t="s">
        <v>54</v>
      </c>
      <c r="J9" t="s">
        <v>175</v>
      </c>
      <c r="K9" t="s">
        <v>66</v>
      </c>
      <c r="L9" t="s">
        <v>56</v>
      </c>
      <c r="M9">
        <v>1</v>
      </c>
      <c r="N9" t="s">
        <v>57</v>
      </c>
      <c r="O9" s="4" t="str">
        <f>$O$8</f>
        <v>BXX</v>
      </c>
      <c r="P9" t="s">
        <v>14</v>
      </c>
      <c r="Q9" s="4" t="str">
        <f>$A$3&amp;".DI_CL.eng"</f>
        <v>BXX_SLP2_VF1.DI_CL.eng</v>
      </c>
      <c r="R9" t="s">
        <v>14</v>
      </c>
      <c r="S9" s="4" t="str">
        <f t="shared" si="0"/>
        <v>BXX Pump 2 Control Mode</v>
      </c>
      <c r="T9">
        <v>0</v>
      </c>
      <c r="U9">
        <v>0</v>
      </c>
    </row>
    <row r="10" spans="1:23" x14ac:dyDescent="0.25">
      <c r="A10" s="4" t="str">
        <f>$A$3&amp;"_DI_SS"</f>
        <v>BXX_SLP2_VF1_DI_SS</v>
      </c>
      <c r="B10" s="4" t="str">
        <f t="shared" ref="B10:B37" si="2">$A$3</f>
        <v>BXX_SLP2_VF1</v>
      </c>
      <c r="C10" s="4" t="str">
        <f>$C$3&amp;" Running Status"</f>
        <v>BXX Pump 2 Running Status</v>
      </c>
      <c r="D10" s="2">
        <f t="shared" si="1"/>
        <v>25</v>
      </c>
      <c r="E10" t="s">
        <v>13</v>
      </c>
      <c r="F10" t="s">
        <v>13</v>
      </c>
      <c r="G10" s="5">
        <v>700</v>
      </c>
      <c r="H10" t="s">
        <v>13</v>
      </c>
      <c r="I10" t="s">
        <v>54</v>
      </c>
      <c r="J10" t="s">
        <v>176</v>
      </c>
      <c r="K10" t="s">
        <v>177</v>
      </c>
      <c r="L10" t="s">
        <v>56</v>
      </c>
      <c r="M10">
        <v>1</v>
      </c>
      <c r="N10" t="s">
        <v>57</v>
      </c>
      <c r="O10" s="4" t="str">
        <f t="shared" ref="O10:O35" si="3">$O$8</f>
        <v>BXX</v>
      </c>
      <c r="P10" t="s">
        <v>14</v>
      </c>
      <c r="Q10" s="4" t="str">
        <f>$A$3&amp;".DI_SS.eng"</f>
        <v>BXX_SLP2_VF1.DI_SS.eng</v>
      </c>
      <c r="R10" t="s">
        <v>14</v>
      </c>
      <c r="S10" s="4" t="str">
        <f t="shared" si="0"/>
        <v>BXX Pump 2 Running Status</v>
      </c>
      <c r="T10">
        <v>0</v>
      </c>
      <c r="U10">
        <v>0</v>
      </c>
    </row>
    <row r="11" spans="1:23" x14ac:dyDescent="0.25">
      <c r="A11" s="4" t="str">
        <f>$A$3&amp;"_DA_ES"</f>
        <v>BXX_SLP2_VF1_DA_ES</v>
      </c>
      <c r="B11" s="4" t="str">
        <f t="shared" si="2"/>
        <v>BXX_SLP2_VF1</v>
      </c>
      <c r="C11" s="4" t="str">
        <f>$C$3&amp;" E-Stop"</f>
        <v>BXX Pump 2 E-Stop</v>
      </c>
      <c r="D11" s="2">
        <f t="shared" si="1"/>
        <v>17</v>
      </c>
      <c r="E11" t="s">
        <v>14</v>
      </c>
      <c r="F11" t="s">
        <v>14</v>
      </c>
      <c r="G11">
        <v>0</v>
      </c>
      <c r="H11" t="s">
        <v>13</v>
      </c>
      <c r="I11" t="s">
        <v>54</v>
      </c>
      <c r="J11" t="s">
        <v>62</v>
      </c>
      <c r="K11" t="s">
        <v>119</v>
      </c>
      <c r="L11" t="s">
        <v>61</v>
      </c>
      <c r="M11" s="5">
        <v>50</v>
      </c>
      <c r="N11" t="s">
        <v>57</v>
      </c>
      <c r="O11" s="4" t="str">
        <f t="shared" si="3"/>
        <v>BXX</v>
      </c>
      <c r="P11" t="s">
        <v>14</v>
      </c>
      <c r="Q11" s="4" t="str">
        <f>$A$3&amp;".DA_ES.eng"</f>
        <v>BXX_SLP2_VF1.DA_ES.eng</v>
      </c>
      <c r="R11" t="s">
        <v>14</v>
      </c>
      <c r="S11" s="4" t="str">
        <f t="shared" si="0"/>
        <v>BXX Pump 2 E-Stop</v>
      </c>
      <c r="T11">
        <v>0</v>
      </c>
      <c r="U11">
        <v>0</v>
      </c>
    </row>
    <row r="12" spans="1:23" x14ac:dyDescent="0.25">
      <c r="A12" s="4" t="str">
        <f>$A$3&amp;"_DA_RA"</f>
        <v>BXX_SLP2_VF1_DA_RA</v>
      </c>
      <c r="B12" s="4" t="str">
        <f t="shared" si="2"/>
        <v>BXX_SLP2_VF1</v>
      </c>
      <c r="C12" s="4" t="str">
        <f>$C$3&amp;" Overload"</f>
        <v>BXX Pump 2 Overload</v>
      </c>
      <c r="D12" s="2">
        <f t="shared" si="1"/>
        <v>19</v>
      </c>
      <c r="E12" t="s">
        <v>14</v>
      </c>
      <c r="F12" t="s">
        <v>14</v>
      </c>
      <c r="G12">
        <v>0</v>
      </c>
      <c r="H12" t="s">
        <v>13</v>
      </c>
      <c r="I12" t="s">
        <v>54</v>
      </c>
      <c r="J12" t="s">
        <v>62</v>
      </c>
      <c r="K12" t="s">
        <v>119</v>
      </c>
      <c r="L12" t="s">
        <v>61</v>
      </c>
      <c r="M12" s="5">
        <v>63</v>
      </c>
      <c r="N12" t="s">
        <v>57</v>
      </c>
      <c r="O12" s="4" t="str">
        <f t="shared" si="3"/>
        <v>BXX</v>
      </c>
      <c r="P12" t="s">
        <v>14</v>
      </c>
      <c r="Q12" s="4" t="str">
        <f>$A$3&amp;".DA_RA.eng"</f>
        <v>BXX_SLP2_VF1.DA_RA.eng</v>
      </c>
      <c r="R12" t="s">
        <v>14</v>
      </c>
      <c r="S12" s="4" t="str">
        <f t="shared" si="0"/>
        <v>BXX Pump 2 Overload</v>
      </c>
      <c r="T12">
        <v>0</v>
      </c>
      <c r="U12">
        <v>0</v>
      </c>
    </row>
    <row r="13" spans="1:23" x14ac:dyDescent="0.25">
      <c r="A13" s="4" t="str">
        <f>$A$3&amp;"_DA_DF"</f>
        <v>BXX_SLP2_VF1_DA_DF</v>
      </c>
      <c r="B13" s="4" t="str">
        <f t="shared" si="2"/>
        <v>BXX_SLP2_VF1</v>
      </c>
      <c r="C13" s="4" t="str">
        <f>$C$3&amp;" Not Ready"</f>
        <v>BXX Pump 2 Not Ready</v>
      </c>
      <c r="D13" s="2">
        <f t="shared" si="1"/>
        <v>20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J13" t="s">
        <v>62</v>
      </c>
      <c r="K13" t="s">
        <v>178</v>
      </c>
      <c r="L13" t="s">
        <v>61</v>
      </c>
      <c r="M13" s="5">
        <v>55</v>
      </c>
      <c r="N13" t="s">
        <v>57</v>
      </c>
      <c r="O13" s="4" t="str">
        <f t="shared" si="3"/>
        <v>BXX</v>
      </c>
      <c r="P13" t="s">
        <v>14</v>
      </c>
      <c r="Q13" s="4" t="str">
        <f>$A$3&amp;".DA_DF.eng"</f>
        <v>BXX_SLP2_VF1.DA_DF.eng</v>
      </c>
      <c r="R13" t="s">
        <v>14</v>
      </c>
      <c r="S13" s="4" t="str">
        <f t="shared" si="0"/>
        <v>BXX Pump 2 Not Ready</v>
      </c>
      <c r="T13">
        <v>0</v>
      </c>
      <c r="U13">
        <v>0</v>
      </c>
    </row>
    <row r="14" spans="1:23" x14ac:dyDescent="0.25">
      <c r="A14" s="4" t="str">
        <f>$A$3&amp;"_DA_GA"</f>
        <v>BXX_SLP2_VF1_DA_GA</v>
      </c>
      <c r="B14" s="4" t="str">
        <f t="shared" si="2"/>
        <v>BXX_SLP2_VF1</v>
      </c>
      <c r="C14" s="4" t="str">
        <f>$C$3&amp;" VFD Fault"</f>
        <v>BXX Pump 2 VFD Fault</v>
      </c>
      <c r="D14" s="2">
        <f t="shared" si="1"/>
        <v>20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55</v>
      </c>
      <c r="N14" t="s">
        <v>57</v>
      </c>
      <c r="O14" s="4" t="str">
        <f t="shared" si="3"/>
        <v>BXX</v>
      </c>
      <c r="P14" t="s">
        <v>14</v>
      </c>
      <c r="Q14" s="4" t="str">
        <f>$A$3&amp;".DA_GA.eng"</f>
        <v>BXX_SLP2_VF1.DA_GA.eng</v>
      </c>
      <c r="R14" t="s">
        <v>14</v>
      </c>
      <c r="S14" s="4" t="str">
        <f t="shared" si="0"/>
        <v>BXX Pump 2 VFD Fault</v>
      </c>
      <c r="T14">
        <v>0</v>
      </c>
      <c r="U14">
        <v>0</v>
      </c>
    </row>
    <row r="15" spans="1:23" x14ac:dyDescent="0.25">
      <c r="A15" s="4" t="str">
        <f>$A$3&amp;"_DA_TA"</f>
        <v>BXX_SLP2_VF1_DA_TA</v>
      </c>
      <c r="B15" s="4" t="str">
        <f t="shared" si="2"/>
        <v>BXX_SLP2_VF1</v>
      </c>
      <c r="C15" s="4" t="str">
        <f>$C$3&amp;" Temp/Leak Alarm"</f>
        <v>BXX Pump 2 Temp/Leak Alarm</v>
      </c>
      <c r="D15" s="2">
        <f t="shared" si="1"/>
        <v>26</v>
      </c>
      <c r="E15" t="s">
        <v>14</v>
      </c>
      <c r="F15" t="s">
        <v>14</v>
      </c>
      <c r="G15">
        <v>0</v>
      </c>
      <c r="H15" t="s">
        <v>13</v>
      </c>
      <c r="I15" t="s">
        <v>54</v>
      </c>
      <c r="J15" t="s">
        <v>62</v>
      </c>
      <c r="K15" t="s">
        <v>119</v>
      </c>
      <c r="L15" t="s">
        <v>61</v>
      </c>
      <c r="M15" s="5">
        <v>58</v>
      </c>
      <c r="N15" t="s">
        <v>57</v>
      </c>
      <c r="O15" s="4" t="str">
        <f t="shared" si="3"/>
        <v>BXX</v>
      </c>
      <c r="P15" t="s">
        <v>14</v>
      </c>
      <c r="Q15" s="4" t="str">
        <f>$A$3&amp;".DA_TA.eng"</f>
        <v>BXX_SLP2_VF1.DA_TA.eng</v>
      </c>
      <c r="R15" t="s">
        <v>14</v>
      </c>
      <c r="S15" s="4" t="str">
        <f t="shared" si="0"/>
        <v>BXX Pump 2 Temp/Leak Alarm</v>
      </c>
      <c r="T15">
        <v>0</v>
      </c>
      <c r="U15">
        <v>0</v>
      </c>
    </row>
    <row r="16" spans="1:23" x14ac:dyDescent="0.25">
      <c r="A16" s="4" t="str">
        <f>$A$3&amp;"_DI_AA"</f>
        <v>BXX_SLP2_VF1_DI_AA</v>
      </c>
      <c r="B16" s="4" t="str">
        <f t="shared" si="2"/>
        <v>BXX_SLP2_VF1</v>
      </c>
      <c r="C16" s="4" t="str">
        <f>$C$3&amp;" Auto Mode"</f>
        <v>BXX Pump 2 Auto Mode</v>
      </c>
      <c r="D16" s="2">
        <f t="shared" si="1"/>
        <v>20</v>
      </c>
      <c r="E16" t="s">
        <v>14</v>
      </c>
      <c r="F16" t="s">
        <v>13</v>
      </c>
      <c r="G16" s="5">
        <v>700</v>
      </c>
      <c r="H16" t="s">
        <v>13</v>
      </c>
      <c r="I16" t="s">
        <v>54</v>
      </c>
      <c r="J16" t="s">
        <v>179</v>
      </c>
      <c r="K16" t="s">
        <v>180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$A$3&amp;".DI_AA"</f>
        <v>BXX_SLP2_VF1.DI_AA</v>
      </c>
      <c r="R16" t="s">
        <v>14</v>
      </c>
      <c r="S16" s="4" t="str">
        <f t="shared" si="0"/>
        <v>BXX Pump 2 Auto Mode</v>
      </c>
      <c r="T16">
        <v>0</v>
      </c>
      <c r="U16">
        <v>0</v>
      </c>
    </row>
    <row r="17" spans="1:21" x14ac:dyDescent="0.25">
      <c r="A17" s="4" t="str">
        <f>$A$3&amp;"_DI_PM"</f>
        <v>BXX_SLP2_VF1_DI_PM</v>
      </c>
      <c r="B17" s="4" t="str">
        <f t="shared" si="2"/>
        <v>BXX_SLP2_VF1</v>
      </c>
      <c r="C17" s="4" t="str">
        <f>$C$3&amp;" Plant Manual Mode"</f>
        <v>BXX Pump 2 Plant Manual Mode</v>
      </c>
      <c r="D17" s="2">
        <f t="shared" si="1"/>
        <v>28</v>
      </c>
      <c r="E17" t="s">
        <v>14</v>
      </c>
      <c r="F17" t="s">
        <v>13</v>
      </c>
      <c r="G17" s="5">
        <v>700</v>
      </c>
      <c r="H17" t="s">
        <v>13</v>
      </c>
      <c r="I17" t="s">
        <v>54</v>
      </c>
      <c r="J17" t="s">
        <v>180</v>
      </c>
      <c r="K17" t="s">
        <v>179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$A$3&amp;".DI_PM"</f>
        <v>BXX_SLP2_VF1.DI_PM</v>
      </c>
      <c r="R17" t="s">
        <v>14</v>
      </c>
      <c r="S17" s="4" t="str">
        <f t="shared" si="0"/>
        <v>BXX Pump 2 Plant Manual Mode</v>
      </c>
      <c r="T17">
        <v>0</v>
      </c>
      <c r="U17">
        <v>0</v>
      </c>
    </row>
    <row r="18" spans="1:21" x14ac:dyDescent="0.25">
      <c r="A18" s="4" t="str">
        <f>$A$3&amp;"_PB_PM"</f>
        <v>BXX_SLP2_VF1_PB_PM</v>
      </c>
      <c r="B18" s="4" t="str">
        <f t="shared" si="2"/>
        <v>BXX_SLP2_VF1</v>
      </c>
      <c r="C18" s="4" t="str">
        <f>$C$3&amp;" Plant Manual Mode RQ"</f>
        <v>BXX Pump 2 Plant Manual Mode RQ</v>
      </c>
      <c r="D18" s="2">
        <f t="shared" si="1"/>
        <v>31</v>
      </c>
      <c r="E18" t="s">
        <v>14</v>
      </c>
      <c r="F18" t="s">
        <v>13</v>
      </c>
      <c r="G18" s="5">
        <v>600</v>
      </c>
      <c r="H18" t="s">
        <v>13</v>
      </c>
      <c r="I18" t="s">
        <v>54</v>
      </c>
      <c r="J18" t="s">
        <v>62</v>
      </c>
      <c r="K18" t="s">
        <v>61</v>
      </c>
      <c r="L18" t="s">
        <v>56</v>
      </c>
      <c r="M18">
        <v>1</v>
      </c>
      <c r="N18" t="s">
        <v>57</v>
      </c>
      <c r="O18" s="4" t="str">
        <f t="shared" si="3"/>
        <v>BXX</v>
      </c>
      <c r="P18" t="s">
        <v>14</v>
      </c>
      <c r="Q18" s="4" t="str">
        <f>$A$3&amp;".PB_PM"</f>
        <v>BXX_SLP2_VF1.PB_PM</v>
      </c>
      <c r="R18" t="s">
        <v>14</v>
      </c>
      <c r="S18" s="4" t="str">
        <f t="shared" si="0"/>
        <v>BXX Pump 2 Plant Manual Mode RQ</v>
      </c>
      <c r="T18">
        <v>0</v>
      </c>
      <c r="U18">
        <v>0</v>
      </c>
    </row>
    <row r="19" spans="1:21" x14ac:dyDescent="0.25">
      <c r="A19" s="4" t="str">
        <f>$A$3&amp;"_PB_PT"</f>
        <v>BXX_SLP2_VF1_PB_PT</v>
      </c>
      <c r="B19" s="4" t="str">
        <f t="shared" si="2"/>
        <v>BXX_SLP2_VF1</v>
      </c>
      <c r="C19" s="4" t="str">
        <f>$C$3&amp;" Plant Manual Start"</f>
        <v>BXX Pump 2 Plant Manual Start</v>
      </c>
      <c r="D19" s="2">
        <f t="shared" si="1"/>
        <v>29</v>
      </c>
      <c r="E19" t="s">
        <v>14</v>
      </c>
      <c r="F19" t="s">
        <v>13</v>
      </c>
      <c r="G19" s="5">
        <v>600</v>
      </c>
      <c r="H19" t="s">
        <v>13</v>
      </c>
      <c r="I19" t="s">
        <v>54</v>
      </c>
      <c r="J19" t="s">
        <v>62</v>
      </c>
      <c r="K19" t="s">
        <v>181</v>
      </c>
      <c r="L19" t="s">
        <v>56</v>
      </c>
      <c r="M19">
        <v>1</v>
      </c>
      <c r="N19" t="s">
        <v>57</v>
      </c>
      <c r="O19" s="4" t="str">
        <f t="shared" si="3"/>
        <v>BXX</v>
      </c>
      <c r="P19" t="s">
        <v>14</v>
      </c>
      <c r="Q19" s="4" t="str">
        <f>$A$3&amp;".PB_PT"</f>
        <v>BXX_SLP2_VF1.PB_PT</v>
      </c>
      <c r="R19" t="s">
        <v>14</v>
      </c>
      <c r="S19" s="4" t="str">
        <f t="shared" si="0"/>
        <v>BXX Pump 2 Plant Manual Start</v>
      </c>
      <c r="T19">
        <v>0</v>
      </c>
      <c r="U19">
        <v>0</v>
      </c>
    </row>
    <row r="20" spans="1:21" x14ac:dyDescent="0.25">
      <c r="A20" s="4" t="str">
        <f>$A$3&amp;"_PB_PP"</f>
        <v>BXX_SLP2_VF1_PB_PP</v>
      </c>
      <c r="B20" s="4" t="str">
        <f t="shared" si="2"/>
        <v>BXX_SLP2_VF1</v>
      </c>
      <c r="C20" s="4" t="str">
        <f>$C$3&amp;" Plant Manual Stop"</f>
        <v>BXX Pump 2 Plant Manual Stop</v>
      </c>
      <c r="D20" s="2">
        <f t="shared" si="1"/>
        <v>28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62</v>
      </c>
      <c r="K20" t="s">
        <v>182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$A$3&amp;".PB_PP"</f>
        <v>BXX_SLP2_VF1.PB_PP</v>
      </c>
      <c r="R20" t="s">
        <v>14</v>
      </c>
      <c r="S20" s="4" t="str">
        <f t="shared" si="0"/>
        <v>BXX Pump 2 Plant Manual Stop</v>
      </c>
      <c r="T20">
        <v>0</v>
      </c>
      <c r="U20">
        <v>0</v>
      </c>
    </row>
    <row r="21" spans="1:21" x14ac:dyDescent="0.25">
      <c r="A21" s="4" t="str">
        <f>$A$3&amp;"_PB_AR"</f>
        <v>BXX_SLP2_VF1_PB_AR</v>
      </c>
      <c r="B21" s="4" t="str">
        <f t="shared" si="2"/>
        <v>BXX_SLP2_VF1</v>
      </c>
      <c r="C21" s="4" t="str">
        <f>$C$3&amp;" Alarm Ack"</f>
        <v>BXX Pump 2 Alarm Ack</v>
      </c>
      <c r="D21" s="2">
        <f t="shared" si="1"/>
        <v>20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62</v>
      </c>
      <c r="K21" t="s">
        <v>183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BXX_SLP2_VF1.PB_AR</v>
      </c>
      <c r="R21" t="s">
        <v>14</v>
      </c>
      <c r="S21" s="4" t="str">
        <f t="shared" si="0"/>
        <v>BXX Pump 2 Alarm Ack</v>
      </c>
      <c r="T21">
        <v>0</v>
      </c>
      <c r="U21">
        <v>0</v>
      </c>
    </row>
    <row r="22" spans="1:21" x14ac:dyDescent="0.25">
      <c r="A22" s="4" t="str">
        <f>$A$3&amp;"_PB_RT"</f>
        <v>BXX_SLP2_VF1_PB_RT</v>
      </c>
      <c r="B22" s="4" t="str">
        <f t="shared" si="2"/>
        <v>BXX_SLP2_VF1</v>
      </c>
      <c r="C22" s="4" t="str">
        <f>$C$3&amp;" Runtime Reset"</f>
        <v>BXX Pump 2 Runtime Reset</v>
      </c>
      <c r="D22" s="2">
        <f t="shared" si="1"/>
        <v>24</v>
      </c>
      <c r="E22" t="s">
        <v>14</v>
      </c>
      <c r="F22" t="s">
        <v>13</v>
      </c>
      <c r="G22" s="5">
        <v>600</v>
      </c>
      <c r="H22" t="s">
        <v>13</v>
      </c>
      <c r="I22" t="s">
        <v>54</v>
      </c>
      <c r="J22" t="s">
        <v>62</v>
      </c>
      <c r="K22" t="s">
        <v>184</v>
      </c>
      <c r="L22" t="s">
        <v>56</v>
      </c>
      <c r="M22">
        <v>1</v>
      </c>
      <c r="N22" t="s">
        <v>57</v>
      </c>
      <c r="O22" s="4" t="str">
        <f t="shared" si="3"/>
        <v>BXX</v>
      </c>
      <c r="P22" t="s">
        <v>14</v>
      </c>
      <c r="Q22" s="4" t="str">
        <f>$A$3&amp;".PB_RT"</f>
        <v>BXX_SLP2_VF1.PB_RT</v>
      </c>
      <c r="R22" t="s">
        <v>14</v>
      </c>
      <c r="S22" s="4" t="str">
        <f t="shared" si="0"/>
        <v>BXX Pump 2 Runtime Reset</v>
      </c>
      <c r="T22">
        <v>0</v>
      </c>
      <c r="U22">
        <v>0</v>
      </c>
    </row>
    <row r="23" spans="1:21" x14ac:dyDescent="0.25">
      <c r="A23" s="4" t="str">
        <f>$A$3&amp;"_DA_SF"</f>
        <v>BXX_SLP2_VF1_DA_SF</v>
      </c>
      <c r="B23" s="4" t="str">
        <f t="shared" si="2"/>
        <v>BXX_SLP2_VF1</v>
      </c>
      <c r="C23" s="4" t="str">
        <f>$C$3&amp;" Failed To Start"</f>
        <v>BXX Pump 2 Failed To Start</v>
      </c>
      <c r="D23" s="2">
        <f t="shared" si="1"/>
        <v>26</v>
      </c>
      <c r="E23" t="s">
        <v>14</v>
      </c>
      <c r="F23" t="s">
        <v>14</v>
      </c>
      <c r="G23">
        <v>0</v>
      </c>
      <c r="H23" t="s">
        <v>13</v>
      </c>
      <c r="I23" t="s">
        <v>54</v>
      </c>
      <c r="J23" t="s">
        <v>62</v>
      </c>
      <c r="K23" t="s">
        <v>119</v>
      </c>
      <c r="L23" t="s">
        <v>61</v>
      </c>
      <c r="M23" s="5">
        <v>51</v>
      </c>
      <c r="N23" t="s">
        <v>57</v>
      </c>
      <c r="O23" s="4" t="str">
        <f t="shared" si="3"/>
        <v>BXX</v>
      </c>
      <c r="P23" t="s">
        <v>14</v>
      </c>
      <c r="Q23" s="4" t="str">
        <f>$A$3&amp;".DA_SF"</f>
        <v>BXX_SLP2_VF1.DA_SF</v>
      </c>
      <c r="R23" t="s">
        <v>14</v>
      </c>
      <c r="S23" s="4" t="str">
        <f t="shared" si="0"/>
        <v>BXX Pump 2 Failed To Start</v>
      </c>
      <c r="T23">
        <v>0</v>
      </c>
      <c r="U23">
        <v>0</v>
      </c>
    </row>
    <row r="24" spans="1:21" x14ac:dyDescent="0.25">
      <c r="A24" s="4" t="str">
        <f>$A$3&amp;"_DA_XF"</f>
        <v>BXX_SLP2_VF1_DA_XF</v>
      </c>
      <c r="B24" s="4" t="str">
        <f t="shared" si="2"/>
        <v>BXX_SLP2_VF1</v>
      </c>
      <c r="C24" s="4" t="str">
        <f>$C$3&amp;" Failed To Stop"</f>
        <v>BXX Pump 2 Failed To Stop</v>
      </c>
      <c r="D24" s="2">
        <f t="shared" si="1"/>
        <v>25</v>
      </c>
      <c r="E24" t="s">
        <v>14</v>
      </c>
      <c r="F24" t="s">
        <v>14</v>
      </c>
      <c r="G24">
        <v>0</v>
      </c>
      <c r="H24" t="s">
        <v>13</v>
      </c>
      <c r="I24" t="s">
        <v>54</v>
      </c>
      <c r="J24" t="s">
        <v>62</v>
      </c>
      <c r="K24" t="s">
        <v>119</v>
      </c>
      <c r="L24" t="s">
        <v>61</v>
      </c>
      <c r="M24" s="5">
        <v>52</v>
      </c>
      <c r="N24" t="s">
        <v>57</v>
      </c>
      <c r="O24" s="4" t="str">
        <f t="shared" si="3"/>
        <v>BXX</v>
      </c>
      <c r="P24" t="s">
        <v>14</v>
      </c>
      <c r="Q24" s="4" t="str">
        <f>$A$3&amp;".DA_XF"</f>
        <v>BXX_SLP2_VF1.DA_XF</v>
      </c>
      <c r="R24" t="s">
        <v>14</v>
      </c>
      <c r="S24" s="4" t="str">
        <f t="shared" si="0"/>
        <v>BXX Pump 2 Failed To Stop</v>
      </c>
      <c r="T24">
        <v>0</v>
      </c>
      <c r="U24">
        <v>0</v>
      </c>
    </row>
    <row r="25" spans="1:21" x14ac:dyDescent="0.25">
      <c r="A25" s="4" t="str">
        <f>$A$3&amp;"_DA_SU"</f>
        <v>BXX_SLP2_VF1_DA_SU</v>
      </c>
      <c r="B25" s="4" t="str">
        <f t="shared" si="2"/>
        <v>BXX_SLP2_VF1</v>
      </c>
      <c r="C25" s="4" t="str">
        <f>$C$3&amp;" Uncommanded Start"</f>
        <v>BXX Pump 2 Uncommanded Start</v>
      </c>
      <c r="D25" s="2">
        <f t="shared" si="1"/>
        <v>28</v>
      </c>
      <c r="E25" t="s">
        <v>14</v>
      </c>
      <c r="F25" t="s">
        <v>14</v>
      </c>
      <c r="G25">
        <v>0</v>
      </c>
      <c r="H25" t="s">
        <v>13</v>
      </c>
      <c r="I25" t="s">
        <v>54</v>
      </c>
      <c r="J25" t="s">
        <v>62</v>
      </c>
      <c r="K25" t="s">
        <v>119</v>
      </c>
      <c r="L25" t="s">
        <v>61</v>
      </c>
      <c r="M25" s="5">
        <v>53</v>
      </c>
      <c r="N25" t="s">
        <v>57</v>
      </c>
      <c r="O25" s="4" t="str">
        <f t="shared" si="3"/>
        <v>BXX</v>
      </c>
      <c r="P25" t="s">
        <v>14</v>
      </c>
      <c r="Q25" s="4" t="str">
        <f>$A$3&amp;".DA_SU"</f>
        <v>BXX_SLP2_VF1.DA_SU</v>
      </c>
      <c r="R25" t="s">
        <v>14</v>
      </c>
      <c r="S25" s="4" t="str">
        <f t="shared" si="0"/>
        <v>BXX Pump 2 Uncommanded Start</v>
      </c>
      <c r="T25">
        <v>0</v>
      </c>
      <c r="U25">
        <v>0</v>
      </c>
    </row>
    <row r="26" spans="1:21" x14ac:dyDescent="0.25">
      <c r="A26" s="4" t="str">
        <f>$A$3&amp;"_DA_XU"</f>
        <v>BXX_SLP2_VF1_DA_XU</v>
      </c>
      <c r="B26" s="4" t="str">
        <f t="shared" si="2"/>
        <v>BXX_SLP2_VF1</v>
      </c>
      <c r="C26" s="4" t="str">
        <f>$C$3&amp;" Uncommanded Stop"</f>
        <v>BXX Pump 2 Uncommanded Stop</v>
      </c>
      <c r="D26" s="2">
        <f t="shared" si="1"/>
        <v>27</v>
      </c>
      <c r="E26" t="s">
        <v>14</v>
      </c>
      <c r="F26" t="s">
        <v>14</v>
      </c>
      <c r="G26">
        <v>0</v>
      </c>
      <c r="H26" t="s">
        <v>13</v>
      </c>
      <c r="I26" t="s">
        <v>54</v>
      </c>
      <c r="J26" t="s">
        <v>62</v>
      </c>
      <c r="K26" t="s">
        <v>119</v>
      </c>
      <c r="L26" t="s">
        <v>61</v>
      </c>
      <c r="M26" s="5">
        <v>54</v>
      </c>
      <c r="N26" t="s">
        <v>57</v>
      </c>
      <c r="O26" s="4" t="str">
        <f t="shared" si="3"/>
        <v>BXX</v>
      </c>
      <c r="P26" t="s">
        <v>14</v>
      </c>
      <c r="Q26" s="4" t="str">
        <f>$A$3&amp;".DA_XU"</f>
        <v>BXX_SLP2_VF1.DA_XU</v>
      </c>
      <c r="R26" t="s">
        <v>14</v>
      </c>
      <c r="S26" s="4" t="str">
        <f t="shared" si="0"/>
        <v>BXX Pump 2 Uncommanded Stop</v>
      </c>
      <c r="T26">
        <v>0</v>
      </c>
      <c r="U26">
        <v>0</v>
      </c>
    </row>
    <row r="27" spans="1:21" x14ac:dyDescent="0.25">
      <c r="A27" s="4" t="str">
        <f>$A$3&amp;"_DI_BP"</f>
        <v>BXX_SLP2_VF1_DI_BP</v>
      </c>
      <c r="B27" s="4" t="str">
        <f t="shared" si="2"/>
        <v>BXX_SLP2_VF1</v>
      </c>
      <c r="C27" s="4" t="str">
        <f>$C$3&amp;" Bypass Mode"</f>
        <v>BXX Pump 2 Bypass Mode</v>
      </c>
      <c r="D27" s="2">
        <f t="shared" si="1"/>
        <v>22</v>
      </c>
      <c r="E27" t="s">
        <v>14</v>
      </c>
      <c r="F27" t="s">
        <v>13</v>
      </c>
      <c r="G27" s="5">
        <v>700</v>
      </c>
      <c r="H27" t="s">
        <v>13</v>
      </c>
      <c r="I27" t="s">
        <v>54</v>
      </c>
      <c r="J27" t="s">
        <v>62</v>
      </c>
      <c r="K27" t="s">
        <v>185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$A$3&amp;".DI_BP.eng"</f>
        <v>BXX_SLP2_VF1.DI_BP.eng</v>
      </c>
      <c r="R27" t="s">
        <v>14</v>
      </c>
      <c r="S27" s="4" t="str">
        <f t="shared" si="0"/>
        <v>BXX Pump 2 Bypass Mode</v>
      </c>
      <c r="T27">
        <v>0</v>
      </c>
      <c r="U27">
        <v>0</v>
      </c>
    </row>
    <row r="28" spans="1:21" x14ac:dyDescent="0.25">
      <c r="A28" s="4" t="str">
        <f>$A$3&amp;"_DI_ST"</f>
        <v>BXX_SLP2_VF1_DI_ST</v>
      </c>
      <c r="B28" s="4" t="str">
        <f t="shared" si="2"/>
        <v>BXX_SLP2_VF1</v>
      </c>
      <c r="C28" s="4" t="str">
        <f>$C$3&amp;" Hardwired Start"</f>
        <v>BXX Pump 2 Hardwired Start</v>
      </c>
      <c r="D28" s="2">
        <f t="shared" si="1"/>
        <v>26</v>
      </c>
      <c r="E28" t="s">
        <v>14</v>
      </c>
      <c r="F28" t="s">
        <v>13</v>
      </c>
      <c r="G28" s="5">
        <v>700</v>
      </c>
      <c r="H28" t="s">
        <v>13</v>
      </c>
      <c r="I28" t="s">
        <v>54</v>
      </c>
      <c r="J28" t="s">
        <v>62</v>
      </c>
      <c r="K28" t="s">
        <v>61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$A$3&amp;".DI_ST.eng"</f>
        <v>BXX_SLP2_VF1.DI_ST.eng</v>
      </c>
      <c r="R28" t="s">
        <v>14</v>
      </c>
      <c r="S28" s="4" t="str">
        <f t="shared" si="0"/>
        <v>BXX Pump 2 Hardwired Start</v>
      </c>
      <c r="T28">
        <v>0</v>
      </c>
      <c r="U28">
        <v>0</v>
      </c>
    </row>
    <row r="29" spans="1:21" x14ac:dyDescent="0.25">
      <c r="A29" s="4" t="str">
        <f>$A$3&amp;"_DI_SP"</f>
        <v>BXX_SLP2_VF1_DI_SP</v>
      </c>
      <c r="B29" s="4" t="str">
        <f t="shared" si="2"/>
        <v>BXX_SLP2_VF1</v>
      </c>
      <c r="C29" s="4" t="str">
        <f>$C$3&amp;" Hardwired Stop"</f>
        <v>BXX Pump 2 Hardwired Stop</v>
      </c>
      <c r="D29" s="2">
        <f t="shared" si="1"/>
        <v>25</v>
      </c>
      <c r="E29" t="s">
        <v>14</v>
      </c>
      <c r="F29" t="s">
        <v>13</v>
      </c>
      <c r="G29" s="5">
        <v>700</v>
      </c>
      <c r="H29" t="s">
        <v>13</v>
      </c>
      <c r="I29" t="s">
        <v>54</v>
      </c>
      <c r="J29" t="s">
        <v>62</v>
      </c>
      <c r="K29" t="s">
        <v>61</v>
      </c>
      <c r="L29" t="s">
        <v>56</v>
      </c>
      <c r="M29">
        <v>1</v>
      </c>
      <c r="N29" t="s">
        <v>57</v>
      </c>
      <c r="O29" s="4" t="str">
        <f t="shared" si="3"/>
        <v>BXX</v>
      </c>
      <c r="P29" t="s">
        <v>14</v>
      </c>
      <c r="Q29" s="4" t="str">
        <f>$A$3&amp;".DI_SP.eng"</f>
        <v>BXX_SLP2_VF1.DI_SP.eng</v>
      </c>
      <c r="R29" t="s">
        <v>14</v>
      </c>
      <c r="S29" s="4" t="str">
        <f t="shared" si="0"/>
        <v>BXX Pump 2 Hardwired Stop</v>
      </c>
      <c r="T29">
        <v>0</v>
      </c>
      <c r="U29">
        <v>0</v>
      </c>
    </row>
    <row r="30" spans="1:21" x14ac:dyDescent="0.25">
      <c r="A30" s="4" t="str">
        <f>$A$3&amp;"_PB_SU"</f>
        <v>BXX_SLP2_VF1_PB_SU</v>
      </c>
      <c r="B30" s="4" t="str">
        <f t="shared" si="2"/>
        <v>BXX_SLP2_VF1</v>
      </c>
      <c r="C30" s="4" t="str">
        <f>$C$3&amp;" Uncomm Start Alarm En"</f>
        <v>BXX Pump 2 Uncomm Start Alarm En</v>
      </c>
      <c r="D30" s="2">
        <f t="shared" si="1"/>
        <v>32</v>
      </c>
      <c r="E30" t="s">
        <v>14</v>
      </c>
      <c r="F30" t="s">
        <v>13</v>
      </c>
      <c r="G30" s="5">
        <v>600</v>
      </c>
      <c r="H30" t="s">
        <v>13</v>
      </c>
      <c r="I30" t="s">
        <v>54</v>
      </c>
      <c r="J30" t="s">
        <v>60</v>
      </c>
      <c r="K30" t="s">
        <v>59</v>
      </c>
      <c r="L30" t="s">
        <v>56</v>
      </c>
      <c r="M30" s="5">
        <v>1</v>
      </c>
      <c r="N30" t="s">
        <v>57</v>
      </c>
      <c r="O30" s="4" t="str">
        <f t="shared" si="3"/>
        <v>BXX</v>
      </c>
      <c r="P30" t="s">
        <v>14</v>
      </c>
      <c r="Q30" s="4" t="str">
        <f>$A$3&amp;".PB_SU.RE"</f>
        <v>BXX_SLP2_VF1.PB_SU.RE</v>
      </c>
      <c r="R30" t="s">
        <v>14</v>
      </c>
      <c r="S30" s="4" t="str">
        <f t="shared" si="0"/>
        <v>BXX Pump 2 Uncomm Start Alarm En</v>
      </c>
      <c r="T30">
        <v>0</v>
      </c>
      <c r="U30">
        <v>0</v>
      </c>
    </row>
    <row r="31" spans="1:21" x14ac:dyDescent="0.25">
      <c r="A31" s="4" t="str">
        <f>$A$3&amp;"_PB_SF"</f>
        <v>BXX_SLP2_VF1_PB_SF</v>
      </c>
      <c r="B31" s="4" t="str">
        <f t="shared" si="2"/>
        <v>BXX_SLP2_VF1</v>
      </c>
      <c r="C31" s="4" t="str">
        <f>$C$3&amp;" Failed To Start Alarm En"</f>
        <v>BXX Pump 2 Failed To Start Alarm En</v>
      </c>
      <c r="D31" s="2">
        <f t="shared" si="1"/>
        <v>35</v>
      </c>
      <c r="E31" t="s">
        <v>14</v>
      </c>
      <c r="F31" t="s">
        <v>13</v>
      </c>
      <c r="G31" s="5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 s="5">
        <v>1</v>
      </c>
      <c r="N31" t="s">
        <v>57</v>
      </c>
      <c r="O31" s="4" t="str">
        <f t="shared" si="3"/>
        <v>BXX</v>
      </c>
      <c r="P31" t="s">
        <v>14</v>
      </c>
      <c r="Q31" s="4" t="str">
        <f>$A$3&amp;".PB_SF.RE"</f>
        <v>BXX_SLP2_VF1.PB_SF.RE</v>
      </c>
      <c r="R31" t="s">
        <v>14</v>
      </c>
      <c r="S31" s="4" t="str">
        <f t="shared" si="0"/>
        <v>BXX Pump 2 Failed To Start Alarm En</v>
      </c>
      <c r="T31">
        <v>0</v>
      </c>
      <c r="U31">
        <v>0</v>
      </c>
    </row>
    <row r="32" spans="1:21" x14ac:dyDescent="0.25">
      <c r="A32" s="4" t="str">
        <f>$A$3&amp;"_PB_XF"</f>
        <v>BXX_SLP2_VF1_PB_XF</v>
      </c>
      <c r="B32" s="4" t="str">
        <f t="shared" si="2"/>
        <v>BXX_SLP2_VF1</v>
      </c>
      <c r="C32" s="4" t="str">
        <f>$C$3&amp;" Failed To Stop Alarm En"</f>
        <v>BXX Pump 2 Failed To Stop Alarm En</v>
      </c>
      <c r="D32" s="2">
        <f t="shared" si="1"/>
        <v>34</v>
      </c>
      <c r="E32" t="s">
        <v>14</v>
      </c>
      <c r="F32" t="s">
        <v>13</v>
      </c>
      <c r="G32" s="5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 s="5">
        <v>1</v>
      </c>
      <c r="N32" t="s">
        <v>57</v>
      </c>
      <c r="O32" s="4" t="str">
        <f t="shared" si="3"/>
        <v>BXX</v>
      </c>
      <c r="P32" t="s">
        <v>14</v>
      </c>
      <c r="Q32" s="4" t="str">
        <f>$A$3&amp;".PB_XF.RE"</f>
        <v>BXX_SLP2_VF1.PB_XF.RE</v>
      </c>
      <c r="R32" t="s">
        <v>14</v>
      </c>
      <c r="S32" s="4" t="str">
        <f t="shared" si="0"/>
        <v>BXX Pump 2 Failed To Stop Alarm En</v>
      </c>
      <c r="T32">
        <v>0</v>
      </c>
      <c r="U32">
        <v>0</v>
      </c>
    </row>
    <row r="33" spans="1:21" x14ac:dyDescent="0.25">
      <c r="A33" s="4" t="str">
        <f>$A$3&amp;"_PB_XU"</f>
        <v>BXX_SLP2_VF1_PB_XU</v>
      </c>
      <c r="B33" s="4" t="str">
        <f t="shared" si="2"/>
        <v>BXX_SLP2_VF1</v>
      </c>
      <c r="C33" s="4" t="str">
        <f>$C$3&amp;" Uncomm. Stop Alarm En"</f>
        <v>BXX Pump 2 Uncomm. Stop Alarm En</v>
      </c>
      <c r="D33" s="2">
        <f t="shared" si="1"/>
        <v>32</v>
      </c>
      <c r="E33" t="s">
        <v>14</v>
      </c>
      <c r="F33" t="s">
        <v>13</v>
      </c>
      <c r="G33" s="5">
        <v>600</v>
      </c>
      <c r="H33" t="s">
        <v>13</v>
      </c>
      <c r="I33" t="s">
        <v>54</v>
      </c>
      <c r="J33" t="s">
        <v>60</v>
      </c>
      <c r="K33" t="s">
        <v>59</v>
      </c>
      <c r="L33" t="s">
        <v>56</v>
      </c>
      <c r="M33" s="5">
        <v>1</v>
      </c>
      <c r="N33" t="s">
        <v>57</v>
      </c>
      <c r="O33" s="4" t="str">
        <f t="shared" si="3"/>
        <v>BXX</v>
      </c>
      <c r="P33" t="s">
        <v>14</v>
      </c>
      <c r="Q33" s="4" t="str">
        <f>$A$3&amp;".PB_XU.RE"</f>
        <v>BXX_SLP2_VF1.PB_XU.RE</v>
      </c>
      <c r="R33" t="s">
        <v>14</v>
      </c>
      <c r="S33" s="4" t="str">
        <f t="shared" si="0"/>
        <v>BXX Pump 2 Uncomm. Stop Alarm En</v>
      </c>
      <c r="T33">
        <v>0</v>
      </c>
      <c r="U33">
        <v>0</v>
      </c>
    </row>
    <row r="34" spans="1:21" x14ac:dyDescent="0.25">
      <c r="A34" s="4" t="str">
        <f>$A$3&amp;"_PB_SM"</f>
        <v>BXX_SLP2_VF1_PB_SM</v>
      </c>
      <c r="B34" s="4" t="str">
        <f t="shared" si="2"/>
        <v>BXX_SLP2_VF1</v>
      </c>
      <c r="C34" s="4" t="str">
        <f>$C$3&amp;" Simulate Alarms PB"</f>
        <v>BXX Pump 2 Simulate Alarms PB</v>
      </c>
      <c r="D34" s="2">
        <f t="shared" si="1"/>
        <v>29</v>
      </c>
      <c r="E34" t="s">
        <v>14</v>
      </c>
      <c r="F34" t="s">
        <v>13</v>
      </c>
      <c r="G34" s="5">
        <v>600</v>
      </c>
      <c r="H34" t="s">
        <v>13</v>
      </c>
      <c r="I34" t="s">
        <v>54</v>
      </c>
      <c r="J34" t="s">
        <v>54</v>
      </c>
      <c r="K34" t="s">
        <v>61</v>
      </c>
      <c r="L34" t="s">
        <v>56</v>
      </c>
      <c r="M34" s="5">
        <v>1</v>
      </c>
      <c r="N34" t="s">
        <v>57</v>
      </c>
      <c r="O34" s="4" t="str">
        <f t="shared" si="3"/>
        <v>BXX</v>
      </c>
      <c r="P34" t="s">
        <v>14</v>
      </c>
      <c r="Q34" s="4" t="str">
        <f>$A$3&amp;".PB_SM"</f>
        <v>BXX_SLP2_VF1.PB_SM</v>
      </c>
      <c r="R34" t="s">
        <v>14</v>
      </c>
      <c r="S34" s="4" t="str">
        <f t="shared" si="0"/>
        <v>BXX Pump 2 Simulate Alarms PB</v>
      </c>
      <c r="T34">
        <v>0</v>
      </c>
      <c r="U34">
        <v>0</v>
      </c>
    </row>
    <row r="35" spans="1:21" x14ac:dyDescent="0.25">
      <c r="A35" s="4" t="str">
        <f>$A$3&amp;"_PB_AE"</f>
        <v>BXX_SLP2_VF1_PB_AE</v>
      </c>
      <c r="B35" s="4" t="str">
        <f t="shared" si="2"/>
        <v>BXX_SLP2_VF1</v>
      </c>
      <c r="C35" s="4" t="str">
        <f>$C$3&amp;" Alarm Enable"</f>
        <v>BXX Pump 2 Alarm Enable</v>
      </c>
      <c r="D35" s="2">
        <f t="shared" si="1"/>
        <v>23</v>
      </c>
      <c r="E35" t="s">
        <v>14</v>
      </c>
      <c r="F35" t="s">
        <v>13</v>
      </c>
      <c r="G35" s="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>
        <v>1</v>
      </c>
      <c r="N35" t="s">
        <v>57</v>
      </c>
      <c r="O35" s="4" t="str">
        <f t="shared" si="3"/>
        <v>BXX</v>
      </c>
      <c r="P35" t="s">
        <v>14</v>
      </c>
      <c r="Q35" s="4" t="str">
        <f>$A$3&amp;".PB_AE.RE"</f>
        <v>BXX_SLP2_VF1.PB_AE.RE</v>
      </c>
      <c r="R35" t="s">
        <v>14</v>
      </c>
      <c r="S35" s="4" t="str">
        <f t="shared" si="0"/>
        <v>BXX Pump 2 Alarm Enable</v>
      </c>
      <c r="T35">
        <v>0</v>
      </c>
      <c r="U35">
        <v>0</v>
      </c>
    </row>
    <row r="36" spans="1:21" x14ac:dyDescent="0.25">
      <c r="A36" s="4" t="str">
        <f>$A$3&amp;"_PB_AE_DE"</f>
        <v>BXX_SLP2_VF1_PB_AE_DE</v>
      </c>
      <c r="B36" s="4" t="str">
        <f t="shared" si="2"/>
        <v>BXX_SLP2_VF1</v>
      </c>
      <c r="C36" s="4" t="str">
        <f>$C$3 &amp; " Alarms Dialer Enable"</f>
        <v>BXX Pump 2 Alarms Dialer Enable</v>
      </c>
      <c r="D36" s="2">
        <f t="shared" si="1"/>
        <v>31</v>
      </c>
      <c r="E36" t="s">
        <v>14</v>
      </c>
      <c r="F36" t="s">
        <v>13</v>
      </c>
      <c r="G36" s="5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>
        <v>1</v>
      </c>
      <c r="N36" t="s">
        <v>57</v>
      </c>
      <c r="O36" s="4" t="str">
        <f t="shared" ref="O36:O37" si="4">$O$9</f>
        <v>BXX</v>
      </c>
      <c r="P36" t="s">
        <v>14</v>
      </c>
      <c r="Q36" s="4" t="str">
        <f>$A$3&amp;".PB_AE.DE"</f>
        <v>BXX_SLP2_VF1.PB_AE.DE</v>
      </c>
      <c r="R36" t="s">
        <v>14</v>
      </c>
      <c r="S36" s="4" t="str">
        <f t="shared" si="0"/>
        <v>BXX Pump 2 Alarms Dialer Enable</v>
      </c>
      <c r="T36">
        <v>0</v>
      </c>
      <c r="U36">
        <v>0</v>
      </c>
    </row>
    <row r="37" spans="1:21" x14ac:dyDescent="0.25">
      <c r="A37" s="4" t="str">
        <f>$A$3&amp;"_PB_AE_SR"</f>
        <v>BXX_SLP2_VF1_PB_AE_SR</v>
      </c>
      <c r="B37" s="4" t="str">
        <f t="shared" si="2"/>
        <v>BXX_SLP2_VF1</v>
      </c>
      <c r="C37" s="4" t="str">
        <f>$C$3 &amp; " Alarms Sup Enable"</f>
        <v>BXX Pump 2 Alarms Sup Enable</v>
      </c>
      <c r="D37" s="2">
        <f t="shared" si="1"/>
        <v>28</v>
      </c>
      <c r="E37" t="s">
        <v>14</v>
      </c>
      <c r="F37" t="s">
        <v>13</v>
      </c>
      <c r="G37" s="5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>
        <v>1</v>
      </c>
      <c r="N37" t="s">
        <v>57</v>
      </c>
      <c r="O37" s="4" t="str">
        <f t="shared" si="4"/>
        <v>BXX</v>
      </c>
      <c r="P37" t="s">
        <v>14</v>
      </c>
      <c r="Q37" s="4" t="str">
        <f>$A$3&amp;".PB_AE.SR"</f>
        <v>BXX_SLP2_VF1.PB_AE.SR</v>
      </c>
      <c r="R37" t="s">
        <v>14</v>
      </c>
      <c r="S37" s="4" t="str">
        <f t="shared" si="0"/>
        <v>BXX Pump 2 Alarms Sup Enable</v>
      </c>
      <c r="T37">
        <v>0</v>
      </c>
      <c r="U37">
        <v>0</v>
      </c>
    </row>
    <row r="38" spans="1:21" x14ac:dyDescent="0.25">
      <c r="A38" s="4" t="str">
        <f>$A$5&amp;"_DI_SC"</f>
        <v>BXX_DEV1_SI1_DI_SC</v>
      </c>
      <c r="B38" s="4" t="str">
        <f>$A$5</f>
        <v>BXX_DEV1_SI1</v>
      </c>
      <c r="C38" s="4" t="str">
        <f>$C$5 &amp; " Scan Status"</f>
        <v>BXX Pump 2 Speed Scan Status</v>
      </c>
      <c r="D38" s="2">
        <f t="shared" si="1"/>
        <v>28</v>
      </c>
      <c r="E38" t="s">
        <v>14</v>
      </c>
      <c r="F38" t="s">
        <v>13</v>
      </c>
      <c r="G38" s="5">
        <v>700</v>
      </c>
      <c r="H38" t="s">
        <v>13</v>
      </c>
      <c r="I38" t="s">
        <v>54</v>
      </c>
      <c r="J38" t="s">
        <v>59</v>
      </c>
      <c r="K38" t="s">
        <v>60</v>
      </c>
      <c r="L38" t="s">
        <v>56</v>
      </c>
      <c r="M38">
        <v>1</v>
      </c>
      <c r="N38" t="s">
        <v>57</v>
      </c>
      <c r="O38" s="4" t="str">
        <f>$O$8</f>
        <v>BXX</v>
      </c>
      <c r="P38" t="s">
        <v>14</v>
      </c>
      <c r="Q38" s="4" t="str">
        <f>$A$5&amp;".DI_SC"</f>
        <v>BXX_DEV1_SI1.DI_SC</v>
      </c>
      <c r="R38" t="s">
        <v>14</v>
      </c>
      <c r="S38" s="4" t="str">
        <f t="shared" si="0"/>
        <v>BXX Pump 2 Speed Scan Status</v>
      </c>
      <c r="T38">
        <v>0</v>
      </c>
      <c r="U38">
        <v>0</v>
      </c>
    </row>
    <row r="39" spans="1:21" x14ac:dyDescent="0.25">
      <c r="A39" s="4" t="str">
        <f>$A$5&amp;"_PB_SC"</f>
        <v>BXX_DEV1_SI1_PB_SC</v>
      </c>
      <c r="B39" s="4" t="str">
        <f t="shared" ref="B39:B44" si="5">$A$5</f>
        <v>BXX_DEV1_SI1</v>
      </c>
      <c r="C39" s="4" t="str">
        <f>$C$5 &amp; " Scan Enable"</f>
        <v>BXX Pump 2 Speed Scan Enable</v>
      </c>
      <c r="D39" s="2">
        <f t="shared" si="1"/>
        <v>28</v>
      </c>
      <c r="E39" t="s">
        <v>14</v>
      </c>
      <c r="F39" t="s">
        <v>13</v>
      </c>
      <c r="G39" s="5">
        <v>600</v>
      </c>
      <c r="H39" t="s">
        <v>13</v>
      </c>
      <c r="I39" t="s">
        <v>54</v>
      </c>
      <c r="J39" t="s">
        <v>54</v>
      </c>
      <c r="K39" t="s">
        <v>61</v>
      </c>
      <c r="L39" t="s">
        <v>56</v>
      </c>
      <c r="M39">
        <v>1</v>
      </c>
      <c r="N39" t="s">
        <v>57</v>
      </c>
      <c r="O39" s="4" t="str">
        <f t="shared" ref="O39:O59" si="6">$O$8</f>
        <v>BXX</v>
      </c>
      <c r="P39" t="s">
        <v>14</v>
      </c>
      <c r="Q39" s="4" t="str">
        <f>$A$5&amp;".PB_SC"</f>
        <v>BXX_DEV1_SI1.PB_SC</v>
      </c>
      <c r="R39" t="s">
        <v>14</v>
      </c>
      <c r="S39" s="4" t="str">
        <f t="shared" si="0"/>
        <v>BXX Pump 2 Speed Scan Enable</v>
      </c>
      <c r="T39">
        <v>0</v>
      </c>
      <c r="U39">
        <v>0</v>
      </c>
    </row>
    <row r="40" spans="1:21" x14ac:dyDescent="0.25">
      <c r="A40" s="4" t="str">
        <f>$A$5&amp;"_DA_ER"</f>
        <v>BXX_DEV1_SI1_DA_ER</v>
      </c>
      <c r="B40" s="4" t="str">
        <f t="shared" si="5"/>
        <v>BXX_DEV1_SI1</v>
      </c>
      <c r="C40" s="4" t="str">
        <f>$C$5 &amp; " Signal Error"</f>
        <v>BXX Pump 2 Speed Signal Error</v>
      </c>
      <c r="D40" s="2">
        <f t="shared" si="1"/>
        <v>29</v>
      </c>
      <c r="E40" t="s">
        <v>14</v>
      </c>
      <c r="F40" t="s">
        <v>14</v>
      </c>
      <c r="G40">
        <v>0</v>
      </c>
      <c r="H40" t="s">
        <v>13</v>
      </c>
      <c r="I40" t="s">
        <v>54</v>
      </c>
      <c r="J40" t="s">
        <v>68</v>
      </c>
      <c r="K40" t="s">
        <v>119</v>
      </c>
      <c r="L40" t="s">
        <v>61</v>
      </c>
      <c r="M40" s="5">
        <v>94</v>
      </c>
      <c r="N40" t="s">
        <v>57</v>
      </c>
      <c r="O40" s="4" t="str">
        <f t="shared" si="6"/>
        <v>BXX</v>
      </c>
      <c r="P40" t="s">
        <v>14</v>
      </c>
      <c r="Q40" s="4" t="str">
        <f>$A$5&amp;".DA_ER"</f>
        <v>BXX_DEV1_SI1.DA_ER</v>
      </c>
      <c r="R40" t="s">
        <v>14</v>
      </c>
      <c r="S40" s="4" t="str">
        <f t="shared" si="0"/>
        <v>BXX Pump 2 Speed Signal Error</v>
      </c>
      <c r="T40">
        <v>0</v>
      </c>
      <c r="U40">
        <v>0</v>
      </c>
    </row>
    <row r="41" spans="1:21" x14ac:dyDescent="0.25">
      <c r="A41" s="4" t="str">
        <f>$A$5&amp;"_PB_ER"</f>
        <v>BXX_DEV1_SI1_PB_ER</v>
      </c>
      <c r="B41" s="4" t="str">
        <f t="shared" si="5"/>
        <v>BXX_DEV1_SI1</v>
      </c>
      <c r="C41" s="4" t="str">
        <f>$C$5 &amp; " Sig Error Alarm En"</f>
        <v>BXX Pump 2 Speed Sig Error Alarm En</v>
      </c>
      <c r="D41" s="2">
        <f t="shared" si="1"/>
        <v>35</v>
      </c>
      <c r="E41" t="s">
        <v>14</v>
      </c>
      <c r="F41" t="s">
        <v>13</v>
      </c>
      <c r="G41" s="5">
        <v>600</v>
      </c>
      <c r="H41" t="s">
        <v>13</v>
      </c>
      <c r="I41" t="s">
        <v>54</v>
      </c>
      <c r="J41" t="s">
        <v>60</v>
      </c>
      <c r="K41" t="s">
        <v>59</v>
      </c>
      <c r="L41" t="s">
        <v>56</v>
      </c>
      <c r="M41">
        <v>1</v>
      </c>
      <c r="N41" t="s">
        <v>57</v>
      </c>
      <c r="O41" s="4" t="str">
        <f t="shared" si="6"/>
        <v>BXX</v>
      </c>
      <c r="P41" t="s">
        <v>14</v>
      </c>
      <c r="Q41" s="4" t="str">
        <f>$A$5&amp;".PB_ER.RE"</f>
        <v>BXX_DEV1_SI1.PB_ER.RE</v>
      </c>
      <c r="R41" t="s">
        <v>14</v>
      </c>
      <c r="S41" s="4" t="str">
        <f t="shared" si="0"/>
        <v>BXX Pump 2 Speed Sig Error Alarm En</v>
      </c>
      <c r="T41">
        <v>0</v>
      </c>
      <c r="U41">
        <v>0</v>
      </c>
    </row>
    <row r="42" spans="1:21" x14ac:dyDescent="0.25">
      <c r="A42" s="4" t="str">
        <f>$A$5&amp;"_PB_SV"</f>
        <v>BXX_DEV1_SI1_PB_SV</v>
      </c>
      <c r="B42" s="4" t="str">
        <f t="shared" si="5"/>
        <v>BXX_DEV1_SI1</v>
      </c>
      <c r="C42" s="4" t="str">
        <f>$C$5 &amp; " Override Enable"</f>
        <v>BXX Pump 2 Speed Override Enable</v>
      </c>
      <c r="D42" s="2">
        <f t="shared" si="1"/>
        <v>32</v>
      </c>
      <c r="E42" t="s">
        <v>14</v>
      </c>
      <c r="F42" t="s">
        <v>13</v>
      </c>
      <c r="G42" s="5">
        <v>600</v>
      </c>
      <c r="H42" t="s">
        <v>13</v>
      </c>
      <c r="I42" t="s">
        <v>54</v>
      </c>
      <c r="J42" t="s">
        <v>54</v>
      </c>
      <c r="K42" t="s">
        <v>61</v>
      </c>
      <c r="L42" t="s">
        <v>56</v>
      </c>
      <c r="M42">
        <v>1</v>
      </c>
      <c r="N42" t="s">
        <v>57</v>
      </c>
      <c r="O42" s="4" t="str">
        <f t="shared" si="6"/>
        <v>BXX</v>
      </c>
      <c r="P42" t="s">
        <v>14</v>
      </c>
      <c r="Q42" s="4" t="str">
        <f>$A$5&amp;".PB_SV"</f>
        <v>BXX_DEV1_SI1.PB_SV</v>
      </c>
      <c r="R42" t="s">
        <v>14</v>
      </c>
      <c r="S42" s="4" t="str">
        <f t="shared" si="0"/>
        <v>BXX Pump 2 Speed Override Enable</v>
      </c>
      <c r="T42">
        <v>0</v>
      </c>
      <c r="U42">
        <v>0</v>
      </c>
    </row>
    <row r="43" spans="1:21" x14ac:dyDescent="0.25">
      <c r="A43" s="4" t="str">
        <f>$A$5&amp;"_DA_ZA"</f>
        <v>BXX_DEV1_SI1_DA_ZA</v>
      </c>
      <c r="B43" s="4" t="str">
        <f t="shared" si="5"/>
        <v>BXX_DEV1_SI1</v>
      </c>
      <c r="C43" s="4" t="str">
        <f>$C$5 &amp; " Deviation Alarm"</f>
        <v>BXX Pump 2 Speed Deviation Alarm</v>
      </c>
      <c r="D43" s="2">
        <f t="shared" si="1"/>
        <v>32</v>
      </c>
      <c r="E43" t="s">
        <v>14</v>
      </c>
      <c r="F43" t="s">
        <v>14</v>
      </c>
      <c r="G43">
        <v>0</v>
      </c>
      <c r="H43" t="s">
        <v>13</v>
      </c>
      <c r="I43" t="s">
        <v>54</v>
      </c>
      <c r="J43" t="s">
        <v>68</v>
      </c>
      <c r="K43" t="s">
        <v>119</v>
      </c>
      <c r="L43" t="s">
        <v>61</v>
      </c>
      <c r="M43" s="5">
        <v>330</v>
      </c>
      <c r="N43" t="s">
        <v>57</v>
      </c>
      <c r="O43" s="4" t="str">
        <f t="shared" si="6"/>
        <v>BXX</v>
      </c>
      <c r="P43" t="s">
        <v>14</v>
      </c>
      <c r="Q43" s="4" t="str">
        <f>$A$5&amp;".DA_ZA"</f>
        <v>BXX_DEV1_SI1.DA_ZA</v>
      </c>
      <c r="R43" t="s">
        <v>14</v>
      </c>
      <c r="S43" s="4" t="str">
        <f t="shared" si="0"/>
        <v>BXX Pump 2 Speed Deviation Alarm</v>
      </c>
      <c r="T43">
        <v>0</v>
      </c>
      <c r="U43">
        <v>0</v>
      </c>
    </row>
    <row r="44" spans="1:21" x14ac:dyDescent="0.25">
      <c r="A44" s="4" t="str">
        <f>$A$5&amp;"_PB_ZA"</f>
        <v>BXX_DEV1_SI1_PB_ZA</v>
      </c>
      <c r="B44" s="4" t="str">
        <f t="shared" si="5"/>
        <v>BXX_DEV1_SI1</v>
      </c>
      <c r="C44" s="4" t="str">
        <f>$C$5 &amp; " Deviation Alarm En"</f>
        <v>BXX Pump 2 Speed Deviation Alarm En</v>
      </c>
      <c r="D44" s="2">
        <f t="shared" si="1"/>
        <v>35</v>
      </c>
      <c r="E44" t="s">
        <v>14</v>
      </c>
      <c r="F44" t="s">
        <v>13</v>
      </c>
      <c r="G44" s="5">
        <v>600</v>
      </c>
      <c r="H44" t="s">
        <v>13</v>
      </c>
      <c r="I44" t="s">
        <v>54</v>
      </c>
      <c r="J44" t="s">
        <v>60</v>
      </c>
      <c r="K44" t="s">
        <v>59</v>
      </c>
      <c r="L44" t="s">
        <v>56</v>
      </c>
      <c r="M44">
        <v>1</v>
      </c>
      <c r="N44" t="s">
        <v>57</v>
      </c>
      <c r="O44" s="4" t="str">
        <f t="shared" si="6"/>
        <v>BXX</v>
      </c>
      <c r="P44" t="s">
        <v>14</v>
      </c>
      <c r="Q44" s="4" t="str">
        <f>$A$5&amp;".PB_ZA.RE"</f>
        <v>BXX_DEV1_SI1.PB_ZA.RE</v>
      </c>
      <c r="R44" t="s">
        <v>14</v>
      </c>
      <c r="S44" s="4" t="str">
        <f t="shared" si="0"/>
        <v>BXX Pump 2 Speed Deviation Alarm En</v>
      </c>
      <c r="T44">
        <v>0</v>
      </c>
      <c r="U44">
        <v>0</v>
      </c>
    </row>
    <row r="45" spans="1:21" x14ac:dyDescent="0.25">
      <c r="A45" s="4" t="str">
        <f>$A$3&amp;"_PB_ES_RE"</f>
        <v>BXX_SLP2_VF1_PB_ES_RE</v>
      </c>
      <c r="B45" s="4" t="str">
        <f t="shared" ref="B45:B59" si="7">$A$3</f>
        <v>BXX_SLP2_VF1</v>
      </c>
      <c r="C45" s="4" t="str">
        <f>$C$3&amp;" E-Stop Enable"</f>
        <v>BXX Pump 2 E-Stop Enable</v>
      </c>
      <c r="D45" s="2">
        <f t="shared" ref="D45:D59" si="8">LEN(C45)</f>
        <v>24</v>
      </c>
      <c r="E45" t="s">
        <v>14</v>
      </c>
      <c r="F45" t="s">
        <v>13</v>
      </c>
      <c r="G45" s="5">
        <v>600</v>
      </c>
      <c r="H45" t="s">
        <v>13</v>
      </c>
      <c r="I45" t="s">
        <v>54</v>
      </c>
      <c r="J45" t="s">
        <v>60</v>
      </c>
      <c r="K45" t="s">
        <v>59</v>
      </c>
      <c r="L45" t="s">
        <v>56</v>
      </c>
      <c r="M45">
        <v>1</v>
      </c>
      <c r="N45" t="s">
        <v>57</v>
      </c>
      <c r="O45" s="4" t="str">
        <f t="shared" si="6"/>
        <v>BXX</v>
      </c>
      <c r="P45" t="s">
        <v>14</v>
      </c>
      <c r="Q45" s="4" t="str">
        <f>$A$3&amp;".DA_ES.RE"</f>
        <v>BXX_SLP2_VF1.DA_ES.RE</v>
      </c>
      <c r="R45" t="s">
        <v>14</v>
      </c>
      <c r="S45" s="4" t="str">
        <f t="shared" ref="S45:S59" si="9">C45</f>
        <v>BXX Pump 2 E-Stop Enable</v>
      </c>
      <c r="T45">
        <v>0</v>
      </c>
      <c r="U45">
        <v>0</v>
      </c>
    </row>
    <row r="46" spans="1:21" x14ac:dyDescent="0.25">
      <c r="A46" s="4" t="str">
        <f>$A$3&amp;"_PB_RA_RE"</f>
        <v>BXX_SLP2_VF1_PB_RA_RE</v>
      </c>
      <c r="B46" s="4" t="str">
        <f t="shared" si="7"/>
        <v>BXX_SLP2_VF1</v>
      </c>
      <c r="C46" s="4" t="str">
        <f>$C$3&amp;" Overload Enable"</f>
        <v>BXX Pump 2 Overload Enable</v>
      </c>
      <c r="D46" s="2">
        <f t="shared" si="8"/>
        <v>26</v>
      </c>
      <c r="E46" t="s">
        <v>14</v>
      </c>
      <c r="F46" t="s">
        <v>13</v>
      </c>
      <c r="G46" s="5">
        <v>600</v>
      </c>
      <c r="H46" t="s">
        <v>13</v>
      </c>
      <c r="I46" t="s">
        <v>54</v>
      </c>
      <c r="J46" t="s">
        <v>60</v>
      </c>
      <c r="K46" t="s">
        <v>59</v>
      </c>
      <c r="L46" t="s">
        <v>56</v>
      </c>
      <c r="M46">
        <v>1</v>
      </c>
      <c r="N46" t="s">
        <v>57</v>
      </c>
      <c r="O46" s="4" t="str">
        <f t="shared" si="6"/>
        <v>BXX</v>
      </c>
      <c r="P46" t="s">
        <v>14</v>
      </c>
      <c r="Q46" s="4" t="str">
        <f>$A$3&amp;".DA_RA.RE"</f>
        <v>BXX_SLP2_VF1.DA_RA.RE</v>
      </c>
      <c r="R46" t="s">
        <v>14</v>
      </c>
      <c r="S46" s="4" t="str">
        <f t="shared" si="9"/>
        <v>BXX Pump 2 Overload Enable</v>
      </c>
      <c r="T46">
        <v>0</v>
      </c>
      <c r="U46">
        <v>0</v>
      </c>
    </row>
    <row r="47" spans="1:21" x14ac:dyDescent="0.25">
      <c r="A47" s="4" t="str">
        <f>$A$3&amp;"_PB_DF_RE"</f>
        <v>BXX_SLP2_VF1_PB_DF_RE</v>
      </c>
      <c r="B47" s="4" t="str">
        <f t="shared" si="7"/>
        <v>BXX_SLP2_VF1</v>
      </c>
      <c r="C47" s="4" t="str">
        <f>$C$3&amp;" Not Ready Enable"</f>
        <v>BXX Pump 2 Not Ready Enable</v>
      </c>
      <c r="D47" s="2">
        <f t="shared" si="8"/>
        <v>27</v>
      </c>
      <c r="E47" t="s">
        <v>14</v>
      </c>
      <c r="F47" t="s">
        <v>13</v>
      </c>
      <c r="G47" s="5">
        <v>600</v>
      </c>
      <c r="H47" t="s">
        <v>13</v>
      </c>
      <c r="I47" t="s">
        <v>54</v>
      </c>
      <c r="J47" t="s">
        <v>60</v>
      </c>
      <c r="K47" t="s">
        <v>59</v>
      </c>
      <c r="L47" t="s">
        <v>56</v>
      </c>
      <c r="M47">
        <v>1</v>
      </c>
      <c r="N47" t="s">
        <v>57</v>
      </c>
      <c r="O47" s="4" t="str">
        <f t="shared" si="6"/>
        <v>BXX</v>
      </c>
      <c r="P47" t="s">
        <v>14</v>
      </c>
      <c r="Q47" s="4" t="str">
        <f>$A$3&amp;".DA_DF.RE"</f>
        <v>BXX_SLP2_VF1.DA_DF.RE</v>
      </c>
      <c r="R47" t="s">
        <v>14</v>
      </c>
      <c r="S47" s="4" t="str">
        <f t="shared" si="9"/>
        <v>BXX Pump 2 Not Ready Enable</v>
      </c>
      <c r="T47">
        <v>0</v>
      </c>
      <c r="U47">
        <v>0</v>
      </c>
    </row>
    <row r="48" spans="1:21" x14ac:dyDescent="0.25">
      <c r="A48" s="4" t="str">
        <f>$A$3&amp;"_PB_GA_RE"</f>
        <v>BXX_SLP2_VF1_PB_GA_RE</v>
      </c>
      <c r="B48" s="4" t="str">
        <f t="shared" si="7"/>
        <v>BXX_SLP2_VF1</v>
      </c>
      <c r="C48" s="4" t="str">
        <f>$C$3&amp;" VFD Fault Enable"</f>
        <v>BXX Pump 2 VFD Fault Enable</v>
      </c>
      <c r="D48" s="2">
        <f t="shared" si="8"/>
        <v>27</v>
      </c>
      <c r="E48" t="s">
        <v>14</v>
      </c>
      <c r="F48" t="s">
        <v>13</v>
      </c>
      <c r="G48" s="5">
        <v>600</v>
      </c>
      <c r="H48" t="s">
        <v>13</v>
      </c>
      <c r="I48" t="s">
        <v>54</v>
      </c>
      <c r="J48" t="s">
        <v>60</v>
      </c>
      <c r="K48" t="s">
        <v>59</v>
      </c>
      <c r="L48" t="s">
        <v>56</v>
      </c>
      <c r="M48">
        <v>1</v>
      </c>
      <c r="N48" t="s">
        <v>57</v>
      </c>
      <c r="O48" s="4" t="str">
        <f t="shared" si="6"/>
        <v>BXX</v>
      </c>
      <c r="P48" t="s">
        <v>14</v>
      </c>
      <c r="Q48" s="4" t="str">
        <f>$A$3&amp;".DA_GA.RE"</f>
        <v>BXX_SLP2_VF1.DA_GA.RE</v>
      </c>
      <c r="R48" t="s">
        <v>14</v>
      </c>
      <c r="S48" s="4" t="str">
        <f t="shared" si="9"/>
        <v>BXX Pump 2 VFD Fault Enable</v>
      </c>
      <c r="T48">
        <v>0</v>
      </c>
      <c r="U48">
        <v>0</v>
      </c>
    </row>
    <row r="49" spans="1:57" x14ac:dyDescent="0.25">
      <c r="A49" s="4" t="str">
        <f>$A$3&amp;"_PB_TA_RE"</f>
        <v>BXX_SLP2_VF1_PB_TA_RE</v>
      </c>
      <c r="B49" s="4" t="str">
        <f t="shared" si="7"/>
        <v>BXX_SLP2_VF1</v>
      </c>
      <c r="C49" s="4" t="str">
        <f>$C$3&amp;" Temp/Leak Alarm Enable"</f>
        <v>BXX Pump 2 Temp/Leak Alarm Enable</v>
      </c>
      <c r="D49" s="2">
        <f t="shared" si="8"/>
        <v>33</v>
      </c>
      <c r="E49" t="s">
        <v>14</v>
      </c>
      <c r="F49" t="s">
        <v>13</v>
      </c>
      <c r="G49" s="5">
        <v>600</v>
      </c>
      <c r="H49" t="s">
        <v>13</v>
      </c>
      <c r="I49" t="s">
        <v>54</v>
      </c>
      <c r="J49" t="s">
        <v>60</v>
      </c>
      <c r="K49" t="s">
        <v>59</v>
      </c>
      <c r="L49" t="s">
        <v>56</v>
      </c>
      <c r="M49">
        <v>1</v>
      </c>
      <c r="N49" t="s">
        <v>57</v>
      </c>
      <c r="O49" s="4" t="str">
        <f t="shared" si="6"/>
        <v>BXX</v>
      </c>
      <c r="P49" t="s">
        <v>14</v>
      </c>
      <c r="Q49" s="4" t="str">
        <f>$A$3&amp;".DA_TA.RE"</f>
        <v>BXX_SLP2_VF1.DA_TA.RE</v>
      </c>
      <c r="R49" t="s">
        <v>14</v>
      </c>
      <c r="S49" s="4" t="str">
        <f t="shared" si="9"/>
        <v>BXX Pump 2 Temp/Leak Alarm Enable</v>
      </c>
      <c r="T49">
        <v>0</v>
      </c>
      <c r="U49">
        <v>0</v>
      </c>
    </row>
    <row r="50" spans="1:57" x14ac:dyDescent="0.25">
      <c r="A50" s="4" t="str">
        <f>$A$3&amp;"_PB_ES_DE"</f>
        <v>BXX_SLP2_VF1_PB_ES_DE</v>
      </c>
      <c r="B50" s="4" t="str">
        <f t="shared" si="7"/>
        <v>BXX_SLP2_VF1</v>
      </c>
      <c r="C50" s="4" t="str">
        <f>$C$3&amp;" E-Stop Dialer Enable"</f>
        <v>BXX Pump 2 E-Stop Dialer Enable</v>
      </c>
      <c r="D50" s="2">
        <f t="shared" si="8"/>
        <v>31</v>
      </c>
      <c r="E50" t="s">
        <v>14</v>
      </c>
      <c r="F50" t="s">
        <v>13</v>
      </c>
      <c r="G50" s="5">
        <v>600</v>
      </c>
      <c r="H50" t="s">
        <v>13</v>
      </c>
      <c r="I50" t="s">
        <v>54</v>
      </c>
      <c r="J50" t="s">
        <v>60</v>
      </c>
      <c r="K50" t="s">
        <v>59</v>
      </c>
      <c r="L50" t="s">
        <v>56</v>
      </c>
      <c r="M50">
        <v>1</v>
      </c>
      <c r="N50" t="s">
        <v>57</v>
      </c>
      <c r="O50" s="4" t="str">
        <f t="shared" si="6"/>
        <v>BXX</v>
      </c>
      <c r="P50" t="s">
        <v>14</v>
      </c>
      <c r="Q50" s="4" t="str">
        <f>$A$3&amp;".DA_ES.DE"</f>
        <v>BXX_SLP2_VF1.DA_ES.DE</v>
      </c>
      <c r="R50" t="s">
        <v>14</v>
      </c>
      <c r="S50" s="4" t="str">
        <f t="shared" si="9"/>
        <v>BXX Pump 2 E-Stop Dialer Enable</v>
      </c>
      <c r="T50">
        <v>0</v>
      </c>
      <c r="U50">
        <v>0</v>
      </c>
    </row>
    <row r="51" spans="1:57" x14ac:dyDescent="0.25">
      <c r="A51" s="4" t="str">
        <f>$A$3&amp;"_PB_RA_DE"</f>
        <v>BXX_SLP2_VF1_PB_RA_DE</v>
      </c>
      <c r="B51" s="4" t="str">
        <f t="shared" si="7"/>
        <v>BXX_SLP2_VF1</v>
      </c>
      <c r="C51" s="4" t="str">
        <f>$C$3&amp;" Overload Dialer Enable"</f>
        <v>BXX Pump 2 Overload Dialer Enable</v>
      </c>
      <c r="D51" s="2">
        <f t="shared" si="8"/>
        <v>33</v>
      </c>
      <c r="E51" t="s">
        <v>14</v>
      </c>
      <c r="F51" t="s">
        <v>13</v>
      </c>
      <c r="G51" s="5">
        <v>600</v>
      </c>
      <c r="H51" t="s">
        <v>13</v>
      </c>
      <c r="I51" t="s">
        <v>54</v>
      </c>
      <c r="J51" t="s">
        <v>60</v>
      </c>
      <c r="K51" t="s">
        <v>59</v>
      </c>
      <c r="L51" t="s">
        <v>56</v>
      </c>
      <c r="M51">
        <v>1</v>
      </c>
      <c r="N51" t="s">
        <v>57</v>
      </c>
      <c r="O51" s="4" t="str">
        <f t="shared" si="6"/>
        <v>BXX</v>
      </c>
      <c r="P51" t="s">
        <v>14</v>
      </c>
      <c r="Q51" s="4" t="str">
        <f>$A$3&amp;".DA_RA.DE"</f>
        <v>BXX_SLP2_VF1.DA_RA.DE</v>
      </c>
      <c r="R51" t="s">
        <v>14</v>
      </c>
      <c r="S51" s="4" t="str">
        <f t="shared" si="9"/>
        <v>BXX Pump 2 Overload Dialer Enable</v>
      </c>
      <c r="T51">
        <v>0</v>
      </c>
      <c r="U51">
        <v>0</v>
      </c>
    </row>
    <row r="52" spans="1:57" x14ac:dyDescent="0.25">
      <c r="A52" s="4" t="str">
        <f>$A$3&amp;"_PB_DF_DE"</f>
        <v>BXX_SLP2_VF1_PB_DF_DE</v>
      </c>
      <c r="B52" s="4" t="str">
        <f t="shared" si="7"/>
        <v>BXX_SLP2_VF1</v>
      </c>
      <c r="C52" s="4" t="str">
        <f>$C$3&amp;" Not Ready Dialer Enable"</f>
        <v>BXX Pump 2 Not Ready Dialer Enable</v>
      </c>
      <c r="D52" s="2">
        <f t="shared" si="8"/>
        <v>34</v>
      </c>
      <c r="E52" t="s">
        <v>14</v>
      </c>
      <c r="F52" t="s">
        <v>13</v>
      </c>
      <c r="G52" s="5">
        <v>600</v>
      </c>
      <c r="H52" t="s">
        <v>13</v>
      </c>
      <c r="I52" t="s">
        <v>54</v>
      </c>
      <c r="J52" t="s">
        <v>60</v>
      </c>
      <c r="K52" t="s">
        <v>59</v>
      </c>
      <c r="L52" t="s">
        <v>56</v>
      </c>
      <c r="M52">
        <v>1</v>
      </c>
      <c r="N52" t="s">
        <v>57</v>
      </c>
      <c r="O52" s="4" t="str">
        <f t="shared" si="6"/>
        <v>BXX</v>
      </c>
      <c r="P52" t="s">
        <v>14</v>
      </c>
      <c r="Q52" s="4" t="str">
        <f>$A$3&amp;".DA_DF.DE"</f>
        <v>BXX_SLP2_VF1.DA_DF.DE</v>
      </c>
      <c r="R52" t="s">
        <v>14</v>
      </c>
      <c r="S52" s="4" t="str">
        <f t="shared" si="9"/>
        <v>BXX Pump 2 Not Ready Dialer Enable</v>
      </c>
      <c r="T52">
        <v>0</v>
      </c>
      <c r="U52">
        <v>0</v>
      </c>
    </row>
    <row r="53" spans="1:57" x14ac:dyDescent="0.25">
      <c r="A53" s="4" t="str">
        <f>$A$3&amp;"_PB_GA_DE"</f>
        <v>BXX_SLP2_VF1_PB_GA_DE</v>
      </c>
      <c r="B53" s="4" t="str">
        <f t="shared" si="7"/>
        <v>BXX_SLP2_VF1</v>
      </c>
      <c r="C53" s="4" t="str">
        <f>$C$3&amp;" VFD Fault Dialer Enable"</f>
        <v>BXX Pump 2 VFD Fault Dialer Enable</v>
      </c>
      <c r="D53" s="2">
        <f t="shared" si="8"/>
        <v>34</v>
      </c>
      <c r="E53" t="s">
        <v>14</v>
      </c>
      <c r="F53" t="s">
        <v>13</v>
      </c>
      <c r="G53" s="5">
        <v>600</v>
      </c>
      <c r="H53" t="s">
        <v>13</v>
      </c>
      <c r="I53" t="s">
        <v>54</v>
      </c>
      <c r="J53" t="s">
        <v>60</v>
      </c>
      <c r="K53" t="s">
        <v>59</v>
      </c>
      <c r="L53" t="s">
        <v>56</v>
      </c>
      <c r="M53">
        <v>1</v>
      </c>
      <c r="N53" t="s">
        <v>57</v>
      </c>
      <c r="O53" s="4" t="str">
        <f t="shared" si="6"/>
        <v>BXX</v>
      </c>
      <c r="P53" t="s">
        <v>14</v>
      </c>
      <c r="Q53" s="4" t="str">
        <f>$A$3&amp;".DA_GA.DE"</f>
        <v>BXX_SLP2_VF1.DA_GA.DE</v>
      </c>
      <c r="R53" t="s">
        <v>14</v>
      </c>
      <c r="S53" s="4" t="str">
        <f t="shared" si="9"/>
        <v>BXX Pump 2 VFD Fault Dialer Enable</v>
      </c>
      <c r="T53">
        <v>0</v>
      </c>
      <c r="U53">
        <v>0</v>
      </c>
    </row>
    <row r="54" spans="1:57" x14ac:dyDescent="0.25">
      <c r="A54" s="4" t="str">
        <f>$A$3&amp;"_PB_TA_DE"</f>
        <v>BXX_SLP2_VF1_PB_TA_DE</v>
      </c>
      <c r="B54" s="4" t="str">
        <f t="shared" si="7"/>
        <v>BXX_SLP2_VF1</v>
      </c>
      <c r="C54" s="4" t="str">
        <f>$C$3&amp;" Temp/Leak Dialer Enable"</f>
        <v>BXX Pump 2 Temp/Leak Dialer Enable</v>
      </c>
      <c r="D54" s="2">
        <f t="shared" si="8"/>
        <v>34</v>
      </c>
      <c r="E54" t="s">
        <v>14</v>
      </c>
      <c r="F54" t="s">
        <v>13</v>
      </c>
      <c r="G54" s="5">
        <v>600</v>
      </c>
      <c r="H54" t="s">
        <v>13</v>
      </c>
      <c r="I54" t="s">
        <v>54</v>
      </c>
      <c r="J54" t="s">
        <v>60</v>
      </c>
      <c r="K54" t="s">
        <v>59</v>
      </c>
      <c r="L54" t="s">
        <v>56</v>
      </c>
      <c r="M54">
        <v>1</v>
      </c>
      <c r="N54" t="s">
        <v>57</v>
      </c>
      <c r="O54" s="4" t="str">
        <f t="shared" si="6"/>
        <v>BXX</v>
      </c>
      <c r="P54" t="s">
        <v>14</v>
      </c>
      <c r="Q54" s="4" t="str">
        <f>$A$3&amp;".DA_TA.DE"</f>
        <v>BXX_SLP2_VF1.DA_TA.DE</v>
      </c>
      <c r="R54" t="s">
        <v>14</v>
      </c>
      <c r="S54" s="4" t="str">
        <f t="shared" si="9"/>
        <v>BXX Pump 2 Temp/Leak Dialer Enable</v>
      </c>
      <c r="T54">
        <v>0</v>
      </c>
      <c r="U54">
        <v>0</v>
      </c>
    </row>
    <row r="55" spans="1:57" x14ac:dyDescent="0.25">
      <c r="A55" s="4" t="str">
        <f>$A$3&amp;"_PB_ES_SR"</f>
        <v>BXX_SLP2_VF1_PB_ES_SR</v>
      </c>
      <c r="B55" s="4" t="str">
        <f t="shared" si="7"/>
        <v>BXX_SLP2_VF1</v>
      </c>
      <c r="C55" s="4" t="str">
        <f>$C$3&amp;" E-Stop Sup Enable"</f>
        <v>BXX Pump 2 E-Stop Sup Enable</v>
      </c>
      <c r="D55" s="2">
        <f t="shared" si="8"/>
        <v>28</v>
      </c>
      <c r="E55" t="s">
        <v>14</v>
      </c>
      <c r="F55" t="s">
        <v>13</v>
      </c>
      <c r="G55" s="5">
        <v>600</v>
      </c>
      <c r="H55" t="s">
        <v>13</v>
      </c>
      <c r="I55" t="s">
        <v>54</v>
      </c>
      <c r="J55" t="s">
        <v>60</v>
      </c>
      <c r="K55" t="s">
        <v>59</v>
      </c>
      <c r="L55" t="s">
        <v>56</v>
      </c>
      <c r="M55">
        <v>1</v>
      </c>
      <c r="N55" t="s">
        <v>57</v>
      </c>
      <c r="O55" s="4" t="str">
        <f t="shared" si="6"/>
        <v>BXX</v>
      </c>
      <c r="P55" t="s">
        <v>14</v>
      </c>
      <c r="Q55" s="4" t="str">
        <f>$A$3&amp;".DA_ES.SR"</f>
        <v>BXX_SLP2_VF1.DA_ES.SR</v>
      </c>
      <c r="R55" t="s">
        <v>14</v>
      </c>
      <c r="S55" s="4" t="str">
        <f t="shared" si="9"/>
        <v>BXX Pump 2 E-Stop Sup Enable</v>
      </c>
      <c r="T55">
        <v>0</v>
      </c>
      <c r="U55">
        <v>0</v>
      </c>
    </row>
    <row r="56" spans="1:57" x14ac:dyDescent="0.25">
      <c r="A56" s="4" t="str">
        <f>$A$3&amp;"_PB_RA_SR"</f>
        <v>BXX_SLP2_VF1_PB_RA_SR</v>
      </c>
      <c r="B56" s="4" t="str">
        <f t="shared" si="7"/>
        <v>BXX_SLP2_VF1</v>
      </c>
      <c r="C56" s="4" t="str">
        <f>$C$3&amp;" Overload Sup Enable"</f>
        <v>BXX Pump 2 Overload Sup Enable</v>
      </c>
      <c r="D56" s="2">
        <f t="shared" si="8"/>
        <v>30</v>
      </c>
      <c r="E56" t="s">
        <v>14</v>
      </c>
      <c r="F56" t="s">
        <v>13</v>
      </c>
      <c r="G56" s="5">
        <v>600</v>
      </c>
      <c r="H56" t="s">
        <v>13</v>
      </c>
      <c r="I56" t="s">
        <v>54</v>
      </c>
      <c r="J56" t="s">
        <v>60</v>
      </c>
      <c r="K56" t="s">
        <v>59</v>
      </c>
      <c r="L56" t="s">
        <v>56</v>
      </c>
      <c r="M56">
        <v>1</v>
      </c>
      <c r="N56" t="s">
        <v>57</v>
      </c>
      <c r="O56" s="4" t="str">
        <f t="shared" si="6"/>
        <v>BXX</v>
      </c>
      <c r="P56" t="s">
        <v>14</v>
      </c>
      <c r="Q56" s="4" t="str">
        <f>$A$3&amp;".DA_RA.SR"</f>
        <v>BXX_SLP2_VF1.DA_RA.SR</v>
      </c>
      <c r="R56" t="s">
        <v>14</v>
      </c>
      <c r="S56" s="4" t="str">
        <f t="shared" si="9"/>
        <v>BXX Pump 2 Overload Sup Enable</v>
      </c>
      <c r="T56">
        <v>0</v>
      </c>
      <c r="U56">
        <v>0</v>
      </c>
    </row>
    <row r="57" spans="1:57" x14ac:dyDescent="0.25">
      <c r="A57" s="4" t="str">
        <f>$A$3&amp;"_PB_DF_SR"</f>
        <v>BXX_SLP2_VF1_PB_DF_SR</v>
      </c>
      <c r="B57" s="4" t="str">
        <f t="shared" si="7"/>
        <v>BXX_SLP2_VF1</v>
      </c>
      <c r="C57" s="4" t="str">
        <f>$C$3&amp;" Not Ready Sup Enable"</f>
        <v>BXX Pump 2 Not Ready Sup Enable</v>
      </c>
      <c r="D57" s="2">
        <f t="shared" si="8"/>
        <v>31</v>
      </c>
      <c r="E57" t="s">
        <v>14</v>
      </c>
      <c r="F57" t="s">
        <v>13</v>
      </c>
      <c r="G57" s="5">
        <v>600</v>
      </c>
      <c r="H57" t="s">
        <v>13</v>
      </c>
      <c r="I57" t="s">
        <v>54</v>
      </c>
      <c r="J57" t="s">
        <v>60</v>
      </c>
      <c r="K57" t="s">
        <v>59</v>
      </c>
      <c r="L57" t="s">
        <v>56</v>
      </c>
      <c r="M57">
        <v>1</v>
      </c>
      <c r="N57" t="s">
        <v>57</v>
      </c>
      <c r="O57" s="4" t="str">
        <f t="shared" si="6"/>
        <v>BXX</v>
      </c>
      <c r="P57" t="s">
        <v>14</v>
      </c>
      <c r="Q57" s="4" t="str">
        <f>$A$3&amp;".DA_DF.SR"</f>
        <v>BXX_SLP2_VF1.DA_DF.SR</v>
      </c>
      <c r="R57" t="s">
        <v>14</v>
      </c>
      <c r="S57" s="4" t="str">
        <f t="shared" si="9"/>
        <v>BXX Pump 2 Not Ready Sup Enable</v>
      </c>
      <c r="T57">
        <v>0</v>
      </c>
      <c r="U57">
        <v>0</v>
      </c>
    </row>
    <row r="58" spans="1:57" x14ac:dyDescent="0.25">
      <c r="A58" s="4" t="str">
        <f>$A$3&amp;"_PB_GA_SR"</f>
        <v>BXX_SLP2_VF1_PB_GA_SR</v>
      </c>
      <c r="B58" s="4" t="str">
        <f t="shared" si="7"/>
        <v>BXX_SLP2_VF1</v>
      </c>
      <c r="C58" s="4" t="str">
        <f>$C$3&amp;" VFD Fault Sup Enable"</f>
        <v>BXX Pump 2 VFD Fault Sup Enable</v>
      </c>
      <c r="D58" s="2">
        <f t="shared" si="8"/>
        <v>31</v>
      </c>
      <c r="E58" t="s">
        <v>14</v>
      </c>
      <c r="F58" t="s">
        <v>13</v>
      </c>
      <c r="G58" s="5">
        <v>600</v>
      </c>
      <c r="H58" t="s">
        <v>13</v>
      </c>
      <c r="I58" t="s">
        <v>54</v>
      </c>
      <c r="J58" t="s">
        <v>60</v>
      </c>
      <c r="K58" t="s">
        <v>59</v>
      </c>
      <c r="L58" t="s">
        <v>56</v>
      </c>
      <c r="M58">
        <v>1</v>
      </c>
      <c r="N58" t="s">
        <v>57</v>
      </c>
      <c r="O58" s="4" t="str">
        <f t="shared" si="6"/>
        <v>BXX</v>
      </c>
      <c r="P58" t="s">
        <v>14</v>
      </c>
      <c r="Q58" s="4" t="str">
        <f>$A$3&amp;".DA_GA.SR"</f>
        <v>BXX_SLP2_VF1.DA_GA.SR</v>
      </c>
      <c r="R58" t="s">
        <v>14</v>
      </c>
      <c r="S58" s="4" t="str">
        <f t="shared" si="9"/>
        <v>BXX Pump 2 VFD Fault Sup Enable</v>
      </c>
      <c r="T58">
        <v>0</v>
      </c>
      <c r="U58">
        <v>0</v>
      </c>
    </row>
    <row r="59" spans="1:57" x14ac:dyDescent="0.25">
      <c r="A59" s="4" t="str">
        <f>$A$3&amp;"_PB_TA_SR"</f>
        <v>BXX_SLP2_VF1_PB_TA_SR</v>
      </c>
      <c r="B59" s="4" t="str">
        <f t="shared" si="7"/>
        <v>BXX_SLP2_VF1</v>
      </c>
      <c r="C59" s="4" t="str">
        <f>$C$3&amp;" Temp/Leak Sup Enable"</f>
        <v>BXX Pump 2 Temp/Leak Sup Enable</v>
      </c>
      <c r="D59" s="2">
        <f t="shared" si="8"/>
        <v>31</v>
      </c>
      <c r="E59" t="s">
        <v>14</v>
      </c>
      <c r="F59" t="s">
        <v>13</v>
      </c>
      <c r="G59" s="5">
        <v>600</v>
      </c>
      <c r="H59" t="s">
        <v>13</v>
      </c>
      <c r="I59" t="s">
        <v>54</v>
      </c>
      <c r="J59" t="s">
        <v>60</v>
      </c>
      <c r="K59" t="s">
        <v>59</v>
      </c>
      <c r="L59" t="s">
        <v>56</v>
      </c>
      <c r="M59">
        <v>1</v>
      </c>
      <c r="N59" t="s">
        <v>57</v>
      </c>
      <c r="O59" s="4" t="str">
        <f t="shared" si="6"/>
        <v>BXX</v>
      </c>
      <c r="P59" t="s">
        <v>14</v>
      </c>
      <c r="Q59" s="4" t="str">
        <f>$A$3&amp;".DA_TA.SR"</f>
        <v>BXX_SLP2_VF1.DA_TA.SR</v>
      </c>
      <c r="R59" t="s">
        <v>14</v>
      </c>
      <c r="S59" s="4" t="str">
        <f t="shared" si="9"/>
        <v>BXX Pump 2 Temp/Leak Sup Enable</v>
      </c>
      <c r="T59">
        <v>0</v>
      </c>
      <c r="U59">
        <v>0</v>
      </c>
    </row>
    <row r="60" spans="1:57" x14ac:dyDescent="0.25">
      <c r="A60" t="s">
        <v>186</v>
      </c>
      <c r="B60" t="s">
        <v>16</v>
      </c>
      <c r="C60" t="s">
        <v>17</v>
      </c>
      <c r="D60"/>
      <c r="E60" t="s">
        <v>39</v>
      </c>
      <c r="F60" t="s">
        <v>18</v>
      </c>
      <c r="G60" t="s">
        <v>19</v>
      </c>
      <c r="H60" t="s">
        <v>40</v>
      </c>
      <c r="I60" t="s">
        <v>71</v>
      </c>
      <c r="J60" t="s">
        <v>72</v>
      </c>
      <c r="K60" t="s">
        <v>73</v>
      </c>
      <c r="L60" t="s">
        <v>74</v>
      </c>
      <c r="M60" t="s">
        <v>75</v>
      </c>
      <c r="N60" t="s">
        <v>187</v>
      </c>
      <c r="O60" t="s">
        <v>188</v>
      </c>
      <c r="P60" t="s">
        <v>78</v>
      </c>
      <c r="Q60" t="s">
        <v>79</v>
      </c>
      <c r="R60" t="s">
        <v>80</v>
      </c>
      <c r="S60" t="s">
        <v>81</v>
      </c>
      <c r="T60" t="s">
        <v>82</v>
      </c>
      <c r="U60" t="s">
        <v>83</v>
      </c>
      <c r="V60" t="s">
        <v>84</v>
      </c>
      <c r="W60" t="s">
        <v>85</v>
      </c>
      <c r="X60" t="s">
        <v>86</v>
      </c>
      <c r="Y60" t="s">
        <v>87</v>
      </c>
      <c r="Z60" t="s">
        <v>88</v>
      </c>
      <c r="AA60" t="s">
        <v>89</v>
      </c>
      <c r="AB60" t="s">
        <v>90</v>
      </c>
      <c r="AC60" t="s">
        <v>91</v>
      </c>
      <c r="AD60" t="s">
        <v>92</v>
      </c>
      <c r="AE60" t="s">
        <v>93</v>
      </c>
      <c r="AF60" t="s">
        <v>94</v>
      </c>
      <c r="AG60" t="s">
        <v>95</v>
      </c>
      <c r="AH60" t="s">
        <v>96</v>
      </c>
      <c r="AI60" t="s">
        <v>97</v>
      </c>
      <c r="AJ60" t="s">
        <v>98</v>
      </c>
      <c r="AK60" t="s">
        <v>99</v>
      </c>
      <c r="AL60" t="s">
        <v>100</v>
      </c>
      <c r="AM60" t="s">
        <v>101</v>
      </c>
      <c r="AN60" t="s">
        <v>102</v>
      </c>
      <c r="AO60" t="s">
        <v>51</v>
      </c>
      <c r="AP60" t="s">
        <v>52</v>
      </c>
      <c r="AQ60" t="s">
        <v>20</v>
      </c>
      <c r="AR60" t="s">
        <v>21</v>
      </c>
      <c r="AS60" t="s">
        <v>22</v>
      </c>
      <c r="AT60" t="s">
        <v>23</v>
      </c>
      <c r="AU60" t="s">
        <v>24</v>
      </c>
      <c r="AV60" t="s">
        <v>25</v>
      </c>
      <c r="AW60" t="s">
        <v>26</v>
      </c>
      <c r="AX60" t="s">
        <v>28</v>
      </c>
      <c r="AY60" t="s">
        <v>29</v>
      </c>
      <c r="AZ60" t="s">
        <v>30</v>
      </c>
      <c r="BA60" t="s">
        <v>31</v>
      </c>
      <c r="BB60" t="s">
        <v>32</v>
      </c>
      <c r="BC60" t="s">
        <v>33</v>
      </c>
      <c r="BD60" t="s">
        <v>34</v>
      </c>
      <c r="BE60" t="s">
        <v>53</v>
      </c>
    </row>
    <row r="61" spans="1:57" x14ac:dyDescent="0.25">
      <c r="A61" t="s">
        <v>189</v>
      </c>
      <c r="B61" t="s">
        <v>127</v>
      </c>
      <c r="C61" t="s">
        <v>190</v>
      </c>
      <c r="E61" t="s">
        <v>14</v>
      </c>
      <c r="F61" t="s">
        <v>14</v>
      </c>
      <c r="G61">
        <v>0</v>
      </c>
      <c r="H61" t="s">
        <v>14</v>
      </c>
      <c r="I61" t="s">
        <v>14</v>
      </c>
      <c r="J61">
        <v>0</v>
      </c>
      <c r="K61">
        <v>0</v>
      </c>
      <c r="M61">
        <v>0</v>
      </c>
      <c r="N61">
        <v>0</v>
      </c>
      <c r="O61">
        <v>9999</v>
      </c>
      <c r="P61">
        <v>0</v>
      </c>
      <c r="Q61">
        <v>0</v>
      </c>
      <c r="R61" t="s">
        <v>54</v>
      </c>
      <c r="S61">
        <v>0</v>
      </c>
      <c r="T61">
        <v>1</v>
      </c>
      <c r="U61" t="s">
        <v>54</v>
      </c>
      <c r="V61">
        <v>0</v>
      </c>
      <c r="W61">
        <v>1</v>
      </c>
      <c r="X61" t="s">
        <v>54</v>
      </c>
      <c r="Y61">
        <v>0</v>
      </c>
      <c r="Z61">
        <v>1</v>
      </c>
      <c r="AA61" t="s">
        <v>54</v>
      </c>
      <c r="AB61">
        <v>0</v>
      </c>
      <c r="AC61">
        <v>1</v>
      </c>
      <c r="AD61" t="s">
        <v>54</v>
      </c>
      <c r="AE61">
        <v>0</v>
      </c>
      <c r="AF61">
        <v>1</v>
      </c>
      <c r="AG61" t="s">
        <v>54</v>
      </c>
      <c r="AH61">
        <v>0</v>
      </c>
      <c r="AI61">
        <v>1</v>
      </c>
      <c r="AJ61">
        <v>0</v>
      </c>
      <c r="AK61" t="s">
        <v>54</v>
      </c>
      <c r="AL61">
        <v>0</v>
      </c>
      <c r="AM61">
        <v>1</v>
      </c>
      <c r="AN61" t="s">
        <v>107</v>
      </c>
      <c r="AO61" t="s">
        <v>190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</row>
    <row r="62" spans="1:57" x14ac:dyDescent="0.25">
      <c r="A62" t="s">
        <v>191</v>
      </c>
      <c r="B62" t="s">
        <v>127</v>
      </c>
      <c r="C62" t="s">
        <v>190</v>
      </c>
      <c r="E62" t="s">
        <v>14</v>
      </c>
      <c r="F62" t="s">
        <v>14</v>
      </c>
      <c r="G62">
        <v>0</v>
      </c>
      <c r="H62" t="s">
        <v>14</v>
      </c>
      <c r="I62" t="s">
        <v>14</v>
      </c>
      <c r="J62">
        <v>0</v>
      </c>
      <c r="K62">
        <v>0</v>
      </c>
      <c r="M62">
        <v>0</v>
      </c>
      <c r="N62">
        <v>0</v>
      </c>
      <c r="O62">
        <v>9999</v>
      </c>
      <c r="P62">
        <v>0</v>
      </c>
      <c r="Q62">
        <v>0</v>
      </c>
      <c r="R62" t="s">
        <v>54</v>
      </c>
      <c r="S62">
        <v>0</v>
      </c>
      <c r="T62">
        <v>1</v>
      </c>
      <c r="U62" t="s">
        <v>54</v>
      </c>
      <c r="V62">
        <v>0</v>
      </c>
      <c r="W62">
        <v>1</v>
      </c>
      <c r="X62" t="s">
        <v>54</v>
      </c>
      <c r="Y62">
        <v>0</v>
      </c>
      <c r="Z62">
        <v>1</v>
      </c>
      <c r="AA62" t="s">
        <v>54</v>
      </c>
      <c r="AB62">
        <v>0</v>
      </c>
      <c r="AC62">
        <v>1</v>
      </c>
      <c r="AD62" t="s">
        <v>54</v>
      </c>
      <c r="AE62">
        <v>0</v>
      </c>
      <c r="AF62">
        <v>1</v>
      </c>
      <c r="AG62" t="s">
        <v>54</v>
      </c>
      <c r="AH62">
        <v>0</v>
      </c>
      <c r="AI62">
        <v>1</v>
      </c>
      <c r="AJ62">
        <v>0</v>
      </c>
      <c r="AK62" t="s">
        <v>54</v>
      </c>
      <c r="AL62">
        <v>0</v>
      </c>
      <c r="AM62">
        <v>1</v>
      </c>
      <c r="AN62" t="s">
        <v>107</v>
      </c>
      <c r="AO62" t="s">
        <v>190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</row>
    <row r="63" spans="1:57" x14ac:dyDescent="0.25">
      <c r="A63" t="s">
        <v>192</v>
      </c>
      <c r="B63" t="s">
        <v>127</v>
      </c>
      <c r="C63" t="s">
        <v>190</v>
      </c>
      <c r="E63" t="s">
        <v>14</v>
      </c>
      <c r="F63" t="s">
        <v>14</v>
      </c>
      <c r="G63">
        <v>0</v>
      </c>
      <c r="H63" t="s">
        <v>14</v>
      </c>
      <c r="I63" t="s">
        <v>14</v>
      </c>
      <c r="J63">
        <v>0</v>
      </c>
      <c r="K63">
        <v>0</v>
      </c>
      <c r="M63">
        <v>0</v>
      </c>
      <c r="N63">
        <v>0</v>
      </c>
      <c r="O63">
        <v>9999</v>
      </c>
      <c r="P63">
        <v>0</v>
      </c>
      <c r="Q63">
        <v>0</v>
      </c>
      <c r="R63" t="s">
        <v>54</v>
      </c>
      <c r="S63">
        <v>0</v>
      </c>
      <c r="T63">
        <v>1</v>
      </c>
      <c r="U63" t="s">
        <v>54</v>
      </c>
      <c r="V63">
        <v>0</v>
      </c>
      <c r="W63">
        <v>1</v>
      </c>
      <c r="X63" t="s">
        <v>54</v>
      </c>
      <c r="Y63">
        <v>0</v>
      </c>
      <c r="Z63">
        <v>1</v>
      </c>
      <c r="AA63" t="s">
        <v>54</v>
      </c>
      <c r="AB63">
        <v>0</v>
      </c>
      <c r="AC63">
        <v>1</v>
      </c>
      <c r="AD63" t="s">
        <v>54</v>
      </c>
      <c r="AE63">
        <v>0</v>
      </c>
      <c r="AF63">
        <v>1</v>
      </c>
      <c r="AG63" t="s">
        <v>54</v>
      </c>
      <c r="AH63">
        <v>0</v>
      </c>
      <c r="AI63">
        <v>1</v>
      </c>
      <c r="AJ63">
        <v>0</v>
      </c>
      <c r="AK63" t="s">
        <v>54</v>
      </c>
      <c r="AL63">
        <v>0</v>
      </c>
      <c r="AM63">
        <v>1</v>
      </c>
      <c r="AN63" t="s">
        <v>107</v>
      </c>
      <c r="AO63" t="s">
        <v>190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</row>
    <row r="64" spans="1:57" x14ac:dyDescent="0.25">
      <c r="A64" t="s">
        <v>173</v>
      </c>
      <c r="B64" t="s">
        <v>127</v>
      </c>
      <c r="C64" t="s">
        <v>174</v>
      </c>
      <c r="E64" t="s">
        <v>14</v>
      </c>
      <c r="F64" t="s">
        <v>14</v>
      </c>
      <c r="G64">
        <v>0</v>
      </c>
      <c r="H64" t="s">
        <v>14</v>
      </c>
      <c r="I64" t="s">
        <v>14</v>
      </c>
      <c r="J64">
        <v>0</v>
      </c>
      <c r="K64">
        <v>0</v>
      </c>
      <c r="M64">
        <v>0</v>
      </c>
      <c r="N64">
        <v>0</v>
      </c>
      <c r="O64">
        <v>9999</v>
      </c>
      <c r="P64">
        <v>0</v>
      </c>
      <c r="Q64">
        <v>0</v>
      </c>
      <c r="R64" t="s">
        <v>54</v>
      </c>
      <c r="S64">
        <v>0</v>
      </c>
      <c r="T64">
        <v>1</v>
      </c>
      <c r="U64" t="s">
        <v>54</v>
      </c>
      <c r="V64">
        <v>0</v>
      </c>
      <c r="W64">
        <v>1</v>
      </c>
      <c r="X64" t="s">
        <v>54</v>
      </c>
      <c r="Y64">
        <v>0</v>
      </c>
      <c r="Z64">
        <v>1</v>
      </c>
      <c r="AA64" t="s">
        <v>54</v>
      </c>
      <c r="AB64">
        <v>0</v>
      </c>
      <c r="AC64">
        <v>1</v>
      </c>
      <c r="AD64" t="s">
        <v>54</v>
      </c>
      <c r="AE64">
        <v>0</v>
      </c>
      <c r="AF64">
        <v>1</v>
      </c>
      <c r="AG64" t="s">
        <v>54</v>
      </c>
      <c r="AH64">
        <v>0</v>
      </c>
      <c r="AI64">
        <v>1</v>
      </c>
      <c r="AJ64">
        <v>0</v>
      </c>
      <c r="AK64" t="s">
        <v>54</v>
      </c>
      <c r="AL64">
        <v>0</v>
      </c>
      <c r="AM64">
        <v>1</v>
      </c>
      <c r="AN64" t="s">
        <v>107</v>
      </c>
      <c r="AO64" t="s">
        <v>174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</row>
    <row r="65" spans="1:64" x14ac:dyDescent="0.25">
      <c r="A65" s="5" t="s">
        <v>120</v>
      </c>
      <c r="B65" t="s">
        <v>16</v>
      </c>
      <c r="C65" t="s">
        <v>17</v>
      </c>
      <c r="D65" s="2">
        <f t="shared" ref="D65:D80" si="10">LEN(C65)</f>
        <v>7</v>
      </c>
      <c r="E65" t="s">
        <v>39</v>
      </c>
      <c r="F65" t="s">
        <v>18</v>
      </c>
      <c r="G65" t="s">
        <v>19</v>
      </c>
      <c r="H65" t="s">
        <v>40</v>
      </c>
      <c r="I65" t="s">
        <v>71</v>
      </c>
      <c r="J65" t="s">
        <v>72</v>
      </c>
      <c r="K65" t="s">
        <v>73</v>
      </c>
      <c r="L65" t="s">
        <v>74</v>
      </c>
      <c r="M65" t="s">
        <v>75</v>
      </c>
      <c r="N65" t="s">
        <v>76</v>
      </c>
      <c r="O65" t="s">
        <v>77</v>
      </c>
      <c r="P65" t="s">
        <v>78</v>
      </c>
      <c r="Q65" t="s">
        <v>79</v>
      </c>
      <c r="R65" t="s">
        <v>80</v>
      </c>
      <c r="S65" t="s">
        <v>81</v>
      </c>
      <c r="T65" t="s">
        <v>82</v>
      </c>
      <c r="U65" t="s">
        <v>83</v>
      </c>
      <c r="V65" t="s">
        <v>84</v>
      </c>
      <c r="W65" t="s">
        <v>85</v>
      </c>
      <c r="X65" t="s">
        <v>86</v>
      </c>
      <c r="Y65" t="s">
        <v>87</v>
      </c>
      <c r="Z65" t="s">
        <v>88</v>
      </c>
      <c r="AA65" t="s">
        <v>89</v>
      </c>
      <c r="AB65" t="s">
        <v>90</v>
      </c>
      <c r="AC65" t="s">
        <v>91</v>
      </c>
      <c r="AD65" t="s">
        <v>92</v>
      </c>
      <c r="AE65" t="s">
        <v>93</v>
      </c>
      <c r="AF65" t="s">
        <v>94</v>
      </c>
      <c r="AG65" t="s">
        <v>95</v>
      </c>
      <c r="AH65" t="s">
        <v>96</v>
      </c>
      <c r="AI65" t="s">
        <v>97</v>
      </c>
      <c r="AJ65" t="s">
        <v>98</v>
      </c>
      <c r="AK65" t="s">
        <v>99</v>
      </c>
      <c r="AL65" t="s">
        <v>100</v>
      </c>
      <c r="AM65" t="s">
        <v>101</v>
      </c>
      <c r="AN65" t="s">
        <v>102</v>
      </c>
      <c r="AO65" t="s">
        <v>103</v>
      </c>
      <c r="AP65" t="s">
        <v>104</v>
      </c>
      <c r="AQ65" t="s">
        <v>105</v>
      </c>
      <c r="AR65" t="s">
        <v>47</v>
      </c>
      <c r="AS65" t="s">
        <v>48</v>
      </c>
      <c r="AT65" t="s">
        <v>49</v>
      </c>
      <c r="AU65" t="s">
        <v>50</v>
      </c>
      <c r="AV65" t="s">
        <v>51</v>
      </c>
      <c r="AW65" t="s">
        <v>52</v>
      </c>
      <c r="AX65" t="s">
        <v>20</v>
      </c>
      <c r="AY65" t="s">
        <v>21</v>
      </c>
      <c r="AZ65" t="s">
        <v>22</v>
      </c>
      <c r="BA65" t="s">
        <v>23</v>
      </c>
      <c r="BB65" t="s">
        <v>24</v>
      </c>
      <c r="BC65" t="s">
        <v>25</v>
      </c>
      <c r="BD65" t="s">
        <v>26</v>
      </c>
      <c r="BE65" t="s">
        <v>28</v>
      </c>
      <c r="BF65" t="s">
        <v>29</v>
      </c>
      <c r="BG65" t="s">
        <v>30</v>
      </c>
      <c r="BH65" t="s">
        <v>31</v>
      </c>
      <c r="BI65" t="s">
        <v>32</v>
      </c>
      <c r="BJ65" t="s">
        <v>33</v>
      </c>
      <c r="BK65" t="s">
        <v>34</v>
      </c>
      <c r="BL65" t="s">
        <v>53</v>
      </c>
    </row>
    <row r="66" spans="1:64" x14ac:dyDescent="0.25">
      <c r="A66" s="4" t="str">
        <f>$A$5&amp;"_AI_VI"</f>
        <v>BXX_DEV1_SI1_AI_VI</v>
      </c>
      <c r="B66" s="4" t="str">
        <f>$A$5</f>
        <v>BXX_DEV1_SI1</v>
      </c>
      <c r="C66" s="4" t="str">
        <f>$C$5 &amp; " Number of Visible Eng Values"</f>
        <v>BXX Pump 2 Speed Number of Visible Eng Values</v>
      </c>
      <c r="D66" s="2">
        <f t="shared" si="10"/>
        <v>45</v>
      </c>
      <c r="E66" t="s">
        <v>14</v>
      </c>
      <c r="F66" t="s">
        <v>13</v>
      </c>
      <c r="G66" s="5">
        <v>700</v>
      </c>
      <c r="H66" t="s">
        <v>13</v>
      </c>
      <c r="I66" t="s">
        <v>14</v>
      </c>
      <c r="J66">
        <v>0</v>
      </c>
      <c r="K66">
        <v>0</v>
      </c>
      <c r="M66" s="4">
        <f>N66</f>
        <v>1</v>
      </c>
      <c r="N66">
        <v>1</v>
      </c>
      <c r="O66">
        <v>3</v>
      </c>
      <c r="P66">
        <v>0</v>
      </c>
      <c r="Q66">
        <v>0</v>
      </c>
      <c r="R66" t="s">
        <v>54</v>
      </c>
      <c r="S66">
        <v>0</v>
      </c>
      <c r="T66">
        <v>1</v>
      </c>
      <c r="U66" t="s">
        <v>54</v>
      </c>
      <c r="V66">
        <v>0</v>
      </c>
      <c r="W66">
        <v>1</v>
      </c>
      <c r="X66" t="s">
        <v>54</v>
      </c>
      <c r="Y66">
        <v>0</v>
      </c>
      <c r="Z66">
        <v>1</v>
      </c>
      <c r="AA66" t="s">
        <v>54</v>
      </c>
      <c r="AB66">
        <v>0</v>
      </c>
      <c r="AC66">
        <v>1</v>
      </c>
      <c r="AD66" t="s">
        <v>54</v>
      </c>
      <c r="AE66">
        <v>0</v>
      </c>
      <c r="AF66">
        <v>1</v>
      </c>
      <c r="AG66" t="s">
        <v>54</v>
      </c>
      <c r="AH66">
        <v>0</v>
      </c>
      <c r="AI66">
        <v>1</v>
      </c>
      <c r="AJ66">
        <v>0</v>
      </c>
      <c r="AK66" t="s">
        <v>54</v>
      </c>
      <c r="AL66">
        <v>0</v>
      </c>
      <c r="AM66">
        <v>1</v>
      </c>
      <c r="AN66" t="s">
        <v>107</v>
      </c>
      <c r="AO66" s="4">
        <f>N66</f>
        <v>1</v>
      </c>
      <c r="AP66" s="4">
        <f>O66</f>
        <v>3</v>
      </c>
      <c r="AQ66" t="s">
        <v>108</v>
      </c>
      <c r="AR66" s="4" t="str">
        <f>$O$8</f>
        <v>BXX</v>
      </c>
      <c r="AS66" t="s">
        <v>14</v>
      </c>
      <c r="AT66" s="4" t="str">
        <f>$A$5&amp;".AI_VI"</f>
        <v>BXX_DEV1_SI1.AI_VI</v>
      </c>
      <c r="AU66" t="s">
        <v>14</v>
      </c>
      <c r="AV66" s="4" t="str">
        <f t="shared" ref="AV66:AV67" si="11">C66</f>
        <v>BXX Pump 2 Speed Number of Visible Eng Values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</row>
    <row r="67" spans="1:64" x14ac:dyDescent="0.25">
      <c r="A67" s="4" t="str">
        <f>$A$5&amp;"_AI_DC"</f>
        <v>BXX_DEV1_SI1_AI_DC</v>
      </c>
      <c r="B67" s="4" t="str">
        <f t="shared" ref="B67" si="12">$A$5</f>
        <v>BXX_DEV1_SI1</v>
      </c>
      <c r="C67" s="4" t="str">
        <f>$C$5 &amp; " Precision"</f>
        <v>BXX Pump 2 Speed Precision</v>
      </c>
      <c r="D67" s="2">
        <f t="shared" si="10"/>
        <v>26</v>
      </c>
      <c r="E67" t="s">
        <v>14</v>
      </c>
      <c r="F67" t="s">
        <v>13</v>
      </c>
      <c r="G67" s="5">
        <v>700</v>
      </c>
      <c r="H67" t="s">
        <v>13</v>
      </c>
      <c r="I67" t="s">
        <v>14</v>
      </c>
      <c r="J67">
        <v>0</v>
      </c>
      <c r="K67">
        <v>0</v>
      </c>
      <c r="M67" s="4">
        <f t="shared" ref="M67" si="13">N67</f>
        <v>0</v>
      </c>
      <c r="N67">
        <v>0</v>
      </c>
      <c r="O67">
        <v>3</v>
      </c>
      <c r="P67">
        <v>0</v>
      </c>
      <c r="Q67">
        <v>0</v>
      </c>
      <c r="R67" t="s">
        <v>54</v>
      </c>
      <c r="S67">
        <v>0</v>
      </c>
      <c r="T67">
        <v>1</v>
      </c>
      <c r="U67" t="s">
        <v>54</v>
      </c>
      <c r="V67">
        <v>0</v>
      </c>
      <c r="W67">
        <v>1</v>
      </c>
      <c r="X67" t="s">
        <v>54</v>
      </c>
      <c r="Y67">
        <v>0</v>
      </c>
      <c r="Z67">
        <v>1</v>
      </c>
      <c r="AA67" t="s">
        <v>54</v>
      </c>
      <c r="AB67">
        <v>0</v>
      </c>
      <c r="AC67">
        <v>1</v>
      </c>
      <c r="AD67" t="s">
        <v>54</v>
      </c>
      <c r="AE67">
        <v>0</v>
      </c>
      <c r="AF67">
        <v>1</v>
      </c>
      <c r="AG67" t="s">
        <v>54</v>
      </c>
      <c r="AH67">
        <v>0</v>
      </c>
      <c r="AI67">
        <v>1</v>
      </c>
      <c r="AJ67">
        <v>0</v>
      </c>
      <c r="AK67" t="s">
        <v>54</v>
      </c>
      <c r="AL67">
        <v>0</v>
      </c>
      <c r="AM67">
        <v>1</v>
      </c>
      <c r="AN67" t="s">
        <v>107</v>
      </c>
      <c r="AO67" s="4">
        <f t="shared" ref="AO67:AP67" si="14">N67</f>
        <v>0</v>
      </c>
      <c r="AP67" s="4">
        <f t="shared" si="14"/>
        <v>3</v>
      </c>
      <c r="AQ67" t="s">
        <v>108</v>
      </c>
      <c r="AR67" s="4" t="str">
        <f t="shared" ref="AR67" si="15">$O$8</f>
        <v>BXX</v>
      </c>
      <c r="AS67" t="s">
        <v>14</v>
      </c>
      <c r="AT67" s="4" t="str">
        <f>$A$5&amp;".AI_DC"</f>
        <v>BXX_DEV1_SI1.AI_DC</v>
      </c>
      <c r="AU67" t="s">
        <v>14</v>
      </c>
      <c r="AV67" s="4" t="str">
        <f t="shared" si="11"/>
        <v>BXX Pump 2 Speed Precision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</row>
    <row r="68" spans="1:64" x14ac:dyDescent="0.25">
      <c r="A68" s="5" t="s">
        <v>70</v>
      </c>
      <c r="B68" t="s">
        <v>16</v>
      </c>
      <c r="C68" t="s">
        <v>17</v>
      </c>
      <c r="D68" s="2">
        <f t="shared" si="10"/>
        <v>7</v>
      </c>
      <c r="E68" t="s">
        <v>39</v>
      </c>
      <c r="F68" t="s">
        <v>18</v>
      </c>
      <c r="G68" t="s">
        <v>19</v>
      </c>
      <c r="H68" t="s">
        <v>40</v>
      </c>
      <c r="I68" t="s">
        <v>71</v>
      </c>
      <c r="J68" t="s">
        <v>72</v>
      </c>
      <c r="K68" t="s">
        <v>73</v>
      </c>
      <c r="L68" t="s">
        <v>74</v>
      </c>
      <c r="M68" t="s">
        <v>75</v>
      </c>
      <c r="N68" t="s">
        <v>76</v>
      </c>
      <c r="O68" t="s">
        <v>77</v>
      </c>
      <c r="P68" t="s">
        <v>78</v>
      </c>
      <c r="Q68" t="s">
        <v>79</v>
      </c>
      <c r="R68" t="s">
        <v>80</v>
      </c>
      <c r="S68" t="s">
        <v>81</v>
      </c>
      <c r="T68" t="s">
        <v>82</v>
      </c>
      <c r="U68" t="s">
        <v>83</v>
      </c>
      <c r="V68" t="s">
        <v>84</v>
      </c>
      <c r="W68" t="s">
        <v>85</v>
      </c>
      <c r="X68" t="s">
        <v>86</v>
      </c>
      <c r="Y68" t="s">
        <v>87</v>
      </c>
      <c r="Z68" t="s">
        <v>88</v>
      </c>
      <c r="AA68" t="s">
        <v>89</v>
      </c>
      <c r="AB68" t="s">
        <v>90</v>
      </c>
      <c r="AC68" t="s">
        <v>91</v>
      </c>
      <c r="AD68" t="s">
        <v>92</v>
      </c>
      <c r="AE68" t="s">
        <v>93</v>
      </c>
      <c r="AF68" t="s">
        <v>94</v>
      </c>
      <c r="AG68" t="s">
        <v>95</v>
      </c>
      <c r="AH68" t="s">
        <v>96</v>
      </c>
      <c r="AI68" t="s">
        <v>97</v>
      </c>
      <c r="AJ68" t="s">
        <v>98</v>
      </c>
      <c r="AK68" t="s">
        <v>99</v>
      </c>
      <c r="AL68" t="s">
        <v>100</v>
      </c>
      <c r="AM68" t="s">
        <v>101</v>
      </c>
      <c r="AN68" t="s">
        <v>102</v>
      </c>
      <c r="AO68" t="s">
        <v>103</v>
      </c>
      <c r="AP68" t="s">
        <v>104</v>
      </c>
      <c r="AQ68" t="s">
        <v>105</v>
      </c>
      <c r="AR68" t="s">
        <v>47</v>
      </c>
      <c r="AS68" t="s">
        <v>48</v>
      </c>
      <c r="AT68" t="s">
        <v>49</v>
      </c>
      <c r="AU68" t="s">
        <v>50</v>
      </c>
      <c r="AV68" t="s">
        <v>51</v>
      </c>
      <c r="AW68" t="s">
        <v>52</v>
      </c>
      <c r="AX68" t="s">
        <v>20</v>
      </c>
      <c r="AY68" t="s">
        <v>21</v>
      </c>
      <c r="AZ68" t="s">
        <v>22</v>
      </c>
      <c r="BA68" t="s">
        <v>23</v>
      </c>
      <c r="BB68" t="s">
        <v>24</v>
      </c>
      <c r="BC68" t="s">
        <v>25</v>
      </c>
      <c r="BD68" t="s">
        <v>26</v>
      </c>
      <c r="BE68" t="s">
        <v>28</v>
      </c>
      <c r="BF68" t="s">
        <v>29</v>
      </c>
      <c r="BG68" t="s">
        <v>30</v>
      </c>
      <c r="BH68" t="s">
        <v>31</v>
      </c>
      <c r="BI68" t="s">
        <v>32</v>
      </c>
      <c r="BJ68" t="s">
        <v>33</v>
      </c>
      <c r="BK68" t="s">
        <v>34</v>
      </c>
      <c r="BL68" t="s">
        <v>53</v>
      </c>
    </row>
    <row r="69" spans="1:64" x14ac:dyDescent="0.25">
      <c r="A69" s="4" t="str">
        <f>$A$3&amp;"_AI_RT"</f>
        <v>BXX_SLP2_VF1_AI_RT</v>
      </c>
      <c r="B69" s="4" t="str">
        <f>$A$3</f>
        <v>BXX_SLP2_VF1</v>
      </c>
      <c r="C69" s="4" t="str">
        <f>$C$3&amp;" Runtime (Hours)"</f>
        <v>BXX Pump 2 Runtime (Hours)</v>
      </c>
      <c r="D69" s="2">
        <f t="shared" si="10"/>
        <v>26</v>
      </c>
      <c r="E69" t="s">
        <v>13</v>
      </c>
      <c r="F69" t="s">
        <v>14</v>
      </c>
      <c r="G69">
        <v>0</v>
      </c>
      <c r="H69" t="s">
        <v>13</v>
      </c>
      <c r="I69" t="s">
        <v>14</v>
      </c>
      <c r="J69">
        <v>0</v>
      </c>
      <c r="K69">
        <v>0</v>
      </c>
      <c r="L69" t="s">
        <v>193</v>
      </c>
      <c r="M69">
        <v>0</v>
      </c>
      <c r="N69">
        <v>0</v>
      </c>
      <c r="O69">
        <v>1000000</v>
      </c>
      <c r="P69">
        <v>0</v>
      </c>
      <c r="Q69">
        <v>1</v>
      </c>
      <c r="R69" t="s">
        <v>54</v>
      </c>
      <c r="S69">
        <v>0</v>
      </c>
      <c r="T69">
        <v>1</v>
      </c>
      <c r="U69" t="s">
        <v>54</v>
      </c>
      <c r="V69">
        <v>0</v>
      </c>
      <c r="W69">
        <v>1</v>
      </c>
      <c r="X69" t="s">
        <v>54</v>
      </c>
      <c r="Y69">
        <v>0</v>
      </c>
      <c r="Z69">
        <v>1</v>
      </c>
      <c r="AA69" t="s">
        <v>54</v>
      </c>
      <c r="AB69">
        <v>0</v>
      </c>
      <c r="AC69">
        <v>1</v>
      </c>
      <c r="AD69" t="s">
        <v>54</v>
      </c>
      <c r="AE69">
        <v>0</v>
      </c>
      <c r="AF69">
        <v>1</v>
      </c>
      <c r="AG69" t="s">
        <v>54</v>
      </c>
      <c r="AH69">
        <v>0</v>
      </c>
      <c r="AI69">
        <v>1</v>
      </c>
      <c r="AJ69">
        <v>0</v>
      </c>
      <c r="AK69" t="s">
        <v>54</v>
      </c>
      <c r="AL69">
        <v>0</v>
      </c>
      <c r="AM69">
        <v>1</v>
      </c>
      <c r="AN69" t="s">
        <v>107</v>
      </c>
      <c r="AO69">
        <v>0</v>
      </c>
      <c r="AP69">
        <v>1000000</v>
      </c>
      <c r="AQ69" t="s">
        <v>108</v>
      </c>
      <c r="AR69" s="4" t="str">
        <f>$O$8</f>
        <v>BXX</v>
      </c>
      <c r="AS69" t="s">
        <v>14</v>
      </c>
      <c r="AT69" s="4" t="str">
        <f>$A$3&amp;".AI_RT"</f>
        <v>BXX_SLP2_VF1.AI_RT</v>
      </c>
      <c r="AU69" t="s">
        <v>14</v>
      </c>
      <c r="AV69" s="4" t="str">
        <f t="shared" ref="AV69:AV77" si="16">C69</f>
        <v>BXX Pump 2 Runtime (Hours)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</row>
    <row r="70" spans="1:64" x14ac:dyDescent="0.25">
      <c r="A70" s="4" t="str">
        <f>$A$3&amp;"_SI_CT"</f>
        <v>BXX_SLP2_VF1_SI_CT</v>
      </c>
      <c r="B70" s="4" t="str">
        <f>$A$3</f>
        <v>BXX_SLP2_VF1</v>
      </c>
      <c r="C70" s="4" t="str">
        <f>$C$3&amp;" Manual Speed Setpoint"</f>
        <v>BXX Pump 2 Manual Speed Setpoint</v>
      </c>
      <c r="D70" s="2">
        <f t="shared" si="10"/>
        <v>32</v>
      </c>
      <c r="E70" t="s">
        <v>14</v>
      </c>
      <c r="F70" t="s">
        <v>13</v>
      </c>
      <c r="G70" s="5">
        <v>900</v>
      </c>
      <c r="H70" t="s">
        <v>13</v>
      </c>
      <c r="I70" t="s">
        <v>14</v>
      </c>
      <c r="J70">
        <v>0</v>
      </c>
      <c r="K70">
        <v>0</v>
      </c>
      <c r="L70" s="5" t="s">
        <v>122</v>
      </c>
      <c r="M70" s="4">
        <f>N70</f>
        <v>0</v>
      </c>
      <c r="N70" s="5">
        <v>0</v>
      </c>
      <c r="O70" s="5">
        <v>100</v>
      </c>
      <c r="P70">
        <v>0</v>
      </c>
      <c r="Q70">
        <v>0</v>
      </c>
      <c r="R70" t="s">
        <v>54</v>
      </c>
      <c r="S70">
        <v>0</v>
      </c>
      <c r="T70">
        <v>1</v>
      </c>
      <c r="U70" t="s">
        <v>54</v>
      </c>
      <c r="V70">
        <v>0</v>
      </c>
      <c r="W70">
        <v>1</v>
      </c>
      <c r="X70" t="s">
        <v>54</v>
      </c>
      <c r="Y70">
        <v>0</v>
      </c>
      <c r="Z70">
        <v>1</v>
      </c>
      <c r="AA70" t="s">
        <v>54</v>
      </c>
      <c r="AB70">
        <v>0</v>
      </c>
      <c r="AC70">
        <v>1</v>
      </c>
      <c r="AD70" t="s">
        <v>54</v>
      </c>
      <c r="AE70">
        <v>0</v>
      </c>
      <c r="AF70">
        <v>1</v>
      </c>
      <c r="AG70" t="s">
        <v>54</v>
      </c>
      <c r="AH70">
        <v>0</v>
      </c>
      <c r="AI70">
        <v>1</v>
      </c>
      <c r="AJ70">
        <v>0</v>
      </c>
      <c r="AK70" t="s">
        <v>54</v>
      </c>
      <c r="AL70">
        <v>0</v>
      </c>
      <c r="AM70">
        <v>1</v>
      </c>
      <c r="AN70" t="s">
        <v>107</v>
      </c>
      <c r="AO70" s="4">
        <f t="shared" ref="AO70:AP77" si="17">N70</f>
        <v>0</v>
      </c>
      <c r="AP70" s="4">
        <f t="shared" si="17"/>
        <v>100</v>
      </c>
      <c r="AQ70" t="s">
        <v>108</v>
      </c>
      <c r="AR70" s="4" t="str">
        <f>$O$8</f>
        <v>BXX</v>
      </c>
      <c r="AS70" t="s">
        <v>14</v>
      </c>
      <c r="AT70" s="4" t="str">
        <f>$A$3&amp;".SI_CT"</f>
        <v>BXX_SLP2_VF1.SI_CT</v>
      </c>
      <c r="AU70" t="s">
        <v>14</v>
      </c>
      <c r="AV70" s="4" t="str">
        <f t="shared" si="16"/>
        <v>BXX Pump 2 Manual Speed Setpoint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</row>
    <row r="71" spans="1:64" x14ac:dyDescent="0.25">
      <c r="A71" s="4" t="str">
        <f>$A$3&amp;"_AO_CV"</f>
        <v>BXX_SLP2_VF1_AO_CV</v>
      </c>
      <c r="B71" s="4" t="str">
        <f>$A$3</f>
        <v>BXX_SLP2_VF1</v>
      </c>
      <c r="C71" s="4" t="str">
        <f>$C$3&amp;" Speed Command"</f>
        <v>BXX Pump 2 Speed Command</v>
      </c>
      <c r="D71" s="2">
        <f t="shared" si="10"/>
        <v>24</v>
      </c>
      <c r="E71" t="s">
        <v>13</v>
      </c>
      <c r="F71" t="s">
        <v>14</v>
      </c>
      <c r="G71" s="5">
        <v>0</v>
      </c>
      <c r="H71" t="s">
        <v>13</v>
      </c>
      <c r="I71" t="s">
        <v>14</v>
      </c>
      <c r="J71">
        <v>0</v>
      </c>
      <c r="K71">
        <v>0</v>
      </c>
      <c r="L71" s="4" t="str">
        <f>L70</f>
        <v>%</v>
      </c>
      <c r="M71" s="4">
        <f>N71</f>
        <v>0</v>
      </c>
      <c r="N71" s="4">
        <f>N70</f>
        <v>0</v>
      </c>
      <c r="O71" s="4">
        <f>O70</f>
        <v>100</v>
      </c>
      <c r="P71">
        <v>0</v>
      </c>
      <c r="Q71" s="4">
        <f>(O71-N71)*0.01</f>
        <v>1</v>
      </c>
      <c r="R71" t="s">
        <v>54</v>
      </c>
      <c r="S71">
        <v>0</v>
      </c>
      <c r="T71">
        <v>1</v>
      </c>
      <c r="U71" t="s">
        <v>54</v>
      </c>
      <c r="V71">
        <v>0</v>
      </c>
      <c r="W71">
        <v>1</v>
      </c>
      <c r="X71" t="s">
        <v>54</v>
      </c>
      <c r="Y71">
        <v>0</v>
      </c>
      <c r="Z71">
        <v>1</v>
      </c>
      <c r="AA71" t="s">
        <v>54</v>
      </c>
      <c r="AB71">
        <v>0</v>
      </c>
      <c r="AC71">
        <v>1</v>
      </c>
      <c r="AD71" t="s">
        <v>54</v>
      </c>
      <c r="AE71">
        <v>0</v>
      </c>
      <c r="AF71">
        <v>1</v>
      </c>
      <c r="AG71" t="s">
        <v>54</v>
      </c>
      <c r="AH71">
        <v>0</v>
      </c>
      <c r="AI71">
        <v>1</v>
      </c>
      <c r="AJ71">
        <v>0</v>
      </c>
      <c r="AK71" t="s">
        <v>54</v>
      </c>
      <c r="AL71">
        <v>0</v>
      </c>
      <c r="AM71">
        <v>1</v>
      </c>
      <c r="AN71" t="s">
        <v>107</v>
      </c>
      <c r="AO71" s="4">
        <f t="shared" si="17"/>
        <v>0</v>
      </c>
      <c r="AP71" s="4">
        <f t="shared" si="17"/>
        <v>100</v>
      </c>
      <c r="AQ71" t="s">
        <v>108</v>
      </c>
      <c r="AR71" s="4" t="str">
        <f>$O$8</f>
        <v>BXX</v>
      </c>
      <c r="AS71" t="s">
        <v>14</v>
      </c>
      <c r="AT71" s="4" t="str">
        <f>$A$3&amp;".AO_CT"</f>
        <v>BXX_SLP2_VF1.AO_CT</v>
      </c>
      <c r="AU71" t="s">
        <v>14</v>
      </c>
      <c r="AV71" s="4" t="str">
        <f t="shared" si="16"/>
        <v>BXX Pump 2 Speed Command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</row>
    <row r="72" spans="1:64" x14ac:dyDescent="0.25">
      <c r="A72" s="4" t="str">
        <f>$A$5&amp;"_AI_CV"</f>
        <v>BXX_DEV1_SI1_AI_CV</v>
      </c>
      <c r="B72" s="4" t="str">
        <f t="shared" ref="B72:B77" si="18">$A$5</f>
        <v>BXX_DEV1_SI1</v>
      </c>
      <c r="C72" s="4" t="str">
        <f>$C$5 &amp; " Current Value"</f>
        <v>BXX Pump 2 Speed Current Value</v>
      </c>
      <c r="D72" s="2">
        <f t="shared" si="10"/>
        <v>30</v>
      </c>
      <c r="E72" t="s">
        <v>13</v>
      </c>
      <c r="F72" t="s">
        <v>14</v>
      </c>
      <c r="G72">
        <v>0</v>
      </c>
      <c r="H72" t="s">
        <v>13</v>
      </c>
      <c r="I72" t="s">
        <v>14</v>
      </c>
      <c r="J72">
        <v>0</v>
      </c>
      <c r="K72">
        <v>0</v>
      </c>
      <c r="L72" s="5" t="s">
        <v>122</v>
      </c>
      <c r="M72" s="4">
        <f t="shared" ref="M72:M77" si="19">N72</f>
        <v>0</v>
      </c>
      <c r="N72" s="5">
        <v>0</v>
      </c>
      <c r="O72" s="5">
        <v>100</v>
      </c>
      <c r="P72">
        <v>0</v>
      </c>
      <c r="Q72" s="4">
        <f>(O72-N72)*0.01</f>
        <v>1</v>
      </c>
      <c r="R72" t="s">
        <v>54</v>
      </c>
      <c r="S72">
        <v>0</v>
      </c>
      <c r="T72">
        <v>1</v>
      </c>
      <c r="U72" t="s">
        <v>54</v>
      </c>
      <c r="V72">
        <v>0</v>
      </c>
      <c r="W72">
        <v>1</v>
      </c>
      <c r="X72" t="s">
        <v>54</v>
      </c>
      <c r="Y72">
        <v>0</v>
      </c>
      <c r="Z72">
        <v>1</v>
      </c>
      <c r="AA72" t="s">
        <v>54</v>
      </c>
      <c r="AB72">
        <v>0</v>
      </c>
      <c r="AC72">
        <v>1</v>
      </c>
      <c r="AD72" t="s">
        <v>54</v>
      </c>
      <c r="AE72">
        <v>0</v>
      </c>
      <c r="AF72">
        <v>1</v>
      </c>
      <c r="AG72" t="s">
        <v>54</v>
      </c>
      <c r="AH72">
        <v>0</v>
      </c>
      <c r="AI72">
        <v>1</v>
      </c>
      <c r="AJ72">
        <v>0</v>
      </c>
      <c r="AK72" t="s">
        <v>54</v>
      </c>
      <c r="AL72">
        <v>0</v>
      </c>
      <c r="AM72">
        <v>1</v>
      </c>
      <c r="AN72" t="s">
        <v>107</v>
      </c>
      <c r="AO72" s="4">
        <f t="shared" si="17"/>
        <v>0</v>
      </c>
      <c r="AP72" s="4">
        <f t="shared" si="17"/>
        <v>100</v>
      </c>
      <c r="AQ72" t="s">
        <v>108</v>
      </c>
      <c r="AR72" s="4" t="str">
        <f t="shared" ref="AR72:AR77" si="20">$O$8</f>
        <v>BXX</v>
      </c>
      <c r="AS72" t="s">
        <v>14</v>
      </c>
      <c r="AT72" s="4" t="str">
        <f>$A$5&amp;".AI_CV"</f>
        <v>BXX_DEV1_SI1.AI_CV</v>
      </c>
      <c r="AU72" t="s">
        <v>14</v>
      </c>
      <c r="AV72" s="4" t="str">
        <f t="shared" si="16"/>
        <v>BXX Pump 2 Speed Current Value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</row>
    <row r="73" spans="1:64" x14ac:dyDescent="0.25">
      <c r="A73" s="4" t="str">
        <f>$A$5&amp;"_AO_XM"</f>
        <v>BXX_DEV1_SI1_AO_XM</v>
      </c>
      <c r="B73" s="4" t="str">
        <f t="shared" si="18"/>
        <v>BXX_DEV1_SI1</v>
      </c>
      <c r="C73" s="4" t="str">
        <f>$C$5 &amp; " Span Setpoint"</f>
        <v>BXX Pump 2 Speed Span Setpoint</v>
      </c>
      <c r="D73" s="2">
        <f t="shared" si="10"/>
        <v>30</v>
      </c>
      <c r="E73" t="s">
        <v>14</v>
      </c>
      <c r="F73" t="s">
        <v>14</v>
      </c>
      <c r="G73">
        <v>0</v>
      </c>
      <c r="H73" t="s">
        <v>13</v>
      </c>
      <c r="I73" t="s">
        <v>14</v>
      </c>
      <c r="J73">
        <v>0</v>
      </c>
      <c r="K73">
        <v>0</v>
      </c>
      <c r="L73" s="4" t="str">
        <f t="shared" ref="L73:L75" si="21">$L$72</f>
        <v>%</v>
      </c>
      <c r="M73" s="4">
        <f t="shared" si="19"/>
        <v>0</v>
      </c>
      <c r="N73" s="4">
        <f t="shared" ref="N73:N77" si="22">$N$72</f>
        <v>0</v>
      </c>
      <c r="O73" s="4">
        <f t="shared" ref="O73:O77" si="23">$O$72</f>
        <v>100</v>
      </c>
      <c r="P73">
        <v>0</v>
      </c>
      <c r="Q73" s="5">
        <v>0</v>
      </c>
      <c r="R73" t="s">
        <v>54</v>
      </c>
      <c r="S73">
        <v>0</v>
      </c>
      <c r="T73">
        <v>1</v>
      </c>
      <c r="U73" t="s">
        <v>54</v>
      </c>
      <c r="V73">
        <v>0</v>
      </c>
      <c r="W73">
        <v>1</v>
      </c>
      <c r="X73" t="s">
        <v>54</v>
      </c>
      <c r="Y73">
        <v>0</v>
      </c>
      <c r="Z73">
        <v>1</v>
      </c>
      <c r="AA73" t="s">
        <v>54</v>
      </c>
      <c r="AB73">
        <v>0</v>
      </c>
      <c r="AC73">
        <v>1</v>
      </c>
      <c r="AD73" t="s">
        <v>54</v>
      </c>
      <c r="AE73">
        <v>0</v>
      </c>
      <c r="AF73">
        <v>1</v>
      </c>
      <c r="AG73" t="s">
        <v>54</v>
      </c>
      <c r="AH73">
        <v>0</v>
      </c>
      <c r="AI73">
        <v>1</v>
      </c>
      <c r="AJ73">
        <v>0</v>
      </c>
      <c r="AK73" t="s">
        <v>54</v>
      </c>
      <c r="AL73">
        <v>0</v>
      </c>
      <c r="AM73">
        <v>1</v>
      </c>
      <c r="AN73" t="s">
        <v>107</v>
      </c>
      <c r="AO73" s="4">
        <f t="shared" si="17"/>
        <v>0</v>
      </c>
      <c r="AP73" s="4">
        <f t="shared" si="17"/>
        <v>100</v>
      </c>
      <c r="AQ73" t="s">
        <v>108</v>
      </c>
      <c r="AR73" s="4" t="str">
        <f t="shared" si="20"/>
        <v>BXX</v>
      </c>
      <c r="AS73" t="s">
        <v>14</v>
      </c>
      <c r="AT73" s="4" t="str">
        <f>$A$5&amp;".AO_XM"</f>
        <v>BXX_DEV1_SI1.AO_XM</v>
      </c>
      <c r="AU73" t="s">
        <v>14</v>
      </c>
      <c r="AV73" s="4" t="str">
        <f t="shared" si="16"/>
        <v>BXX Pump 2 Speed Span Setpoint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</row>
    <row r="74" spans="1:64" x14ac:dyDescent="0.25">
      <c r="A74" s="4" t="str">
        <f>$A$5&amp;"_AO_EM"</f>
        <v>BXX_DEV1_SI1_AO_EM</v>
      </c>
      <c r="B74" s="4" t="str">
        <f t="shared" si="18"/>
        <v>BXX_DEV1_SI1</v>
      </c>
      <c r="C74" s="4" t="str">
        <f>$C$5 &amp; " Zero Setpoint"</f>
        <v>BXX Pump 2 Speed Zero Setpoint</v>
      </c>
      <c r="D74" s="2">
        <f t="shared" si="10"/>
        <v>30</v>
      </c>
      <c r="E74" t="s">
        <v>14</v>
      </c>
      <c r="F74" t="s">
        <v>14</v>
      </c>
      <c r="G74">
        <v>0</v>
      </c>
      <c r="H74" t="s">
        <v>13</v>
      </c>
      <c r="I74" t="s">
        <v>14</v>
      </c>
      <c r="J74">
        <v>0</v>
      </c>
      <c r="K74">
        <v>0</v>
      </c>
      <c r="L74" s="4" t="str">
        <f t="shared" si="21"/>
        <v>%</v>
      </c>
      <c r="M74" s="4">
        <f t="shared" si="19"/>
        <v>0</v>
      </c>
      <c r="N74" s="4">
        <f t="shared" si="22"/>
        <v>0</v>
      </c>
      <c r="O74" s="4">
        <f t="shared" si="23"/>
        <v>100</v>
      </c>
      <c r="P74">
        <v>0</v>
      </c>
      <c r="Q74" s="5">
        <v>0</v>
      </c>
      <c r="R74" t="s">
        <v>54</v>
      </c>
      <c r="S74">
        <v>0</v>
      </c>
      <c r="T74">
        <v>1</v>
      </c>
      <c r="U74" t="s">
        <v>54</v>
      </c>
      <c r="V74">
        <v>0</v>
      </c>
      <c r="W74">
        <v>1</v>
      </c>
      <c r="X74" t="s">
        <v>54</v>
      </c>
      <c r="Y74">
        <v>0</v>
      </c>
      <c r="Z74">
        <v>1</v>
      </c>
      <c r="AA74" t="s">
        <v>54</v>
      </c>
      <c r="AB74">
        <v>0</v>
      </c>
      <c r="AC74">
        <v>1</v>
      </c>
      <c r="AD74" t="s">
        <v>54</v>
      </c>
      <c r="AE74">
        <v>0</v>
      </c>
      <c r="AF74">
        <v>1</v>
      </c>
      <c r="AG74" t="s">
        <v>54</v>
      </c>
      <c r="AH74">
        <v>0</v>
      </c>
      <c r="AI74">
        <v>1</v>
      </c>
      <c r="AJ74">
        <v>0</v>
      </c>
      <c r="AK74" t="s">
        <v>54</v>
      </c>
      <c r="AL74">
        <v>0</v>
      </c>
      <c r="AM74">
        <v>1</v>
      </c>
      <c r="AN74" t="s">
        <v>107</v>
      </c>
      <c r="AO74" s="4">
        <f t="shared" si="17"/>
        <v>0</v>
      </c>
      <c r="AP74" s="4">
        <f t="shared" si="17"/>
        <v>100</v>
      </c>
      <c r="AQ74" t="s">
        <v>108</v>
      </c>
      <c r="AR74" s="4" t="str">
        <f t="shared" si="20"/>
        <v>BXX</v>
      </c>
      <c r="AS74" t="s">
        <v>14</v>
      </c>
      <c r="AT74" s="4" t="str">
        <f>$A$5&amp;".AO_EM"</f>
        <v>BXX_DEV1_SI1.AO_EM</v>
      </c>
      <c r="AU74" t="s">
        <v>14</v>
      </c>
      <c r="AV74" s="4" t="str">
        <f t="shared" si="16"/>
        <v>BXX Pump 2 Speed Zero Setpoint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</row>
    <row r="75" spans="1:64" x14ac:dyDescent="0.25">
      <c r="A75" s="4" t="str">
        <f>$A$5&amp;"_AO_SV"</f>
        <v>BXX_DEV1_SI1_AO_SV</v>
      </c>
      <c r="B75" s="4" t="str">
        <f t="shared" si="18"/>
        <v>BXX_DEV1_SI1</v>
      </c>
      <c r="C75" s="4" t="str">
        <f>$C$5 &amp; " Override Value"</f>
        <v>BXX Pump 2 Speed Override Value</v>
      </c>
      <c r="D75" s="2">
        <f t="shared" si="10"/>
        <v>31</v>
      </c>
      <c r="E75" t="s">
        <v>14</v>
      </c>
      <c r="F75" t="s">
        <v>13</v>
      </c>
      <c r="G75" s="5">
        <v>900</v>
      </c>
      <c r="H75" t="s">
        <v>13</v>
      </c>
      <c r="I75" t="s">
        <v>14</v>
      </c>
      <c r="J75">
        <v>0</v>
      </c>
      <c r="K75">
        <v>0</v>
      </c>
      <c r="L75" s="4" t="str">
        <f t="shared" si="21"/>
        <v>%</v>
      </c>
      <c r="M75" s="4">
        <f t="shared" si="19"/>
        <v>0</v>
      </c>
      <c r="N75" s="4">
        <f t="shared" si="22"/>
        <v>0</v>
      </c>
      <c r="O75" s="4">
        <f t="shared" si="23"/>
        <v>100</v>
      </c>
      <c r="P75">
        <v>0</v>
      </c>
      <c r="Q75">
        <v>0</v>
      </c>
      <c r="R75" t="s">
        <v>54</v>
      </c>
      <c r="S75">
        <v>0</v>
      </c>
      <c r="T75">
        <v>1</v>
      </c>
      <c r="U75" t="s">
        <v>54</v>
      </c>
      <c r="V75">
        <v>0</v>
      </c>
      <c r="W75">
        <v>1</v>
      </c>
      <c r="X75" t="s">
        <v>54</v>
      </c>
      <c r="Y75">
        <v>0</v>
      </c>
      <c r="Z75">
        <v>1</v>
      </c>
      <c r="AA75" t="s">
        <v>54</v>
      </c>
      <c r="AB75">
        <v>0</v>
      </c>
      <c r="AC75">
        <v>1</v>
      </c>
      <c r="AD75" t="s">
        <v>54</v>
      </c>
      <c r="AE75">
        <v>0</v>
      </c>
      <c r="AF75">
        <v>1</v>
      </c>
      <c r="AG75" t="s">
        <v>54</v>
      </c>
      <c r="AH75">
        <v>0</v>
      </c>
      <c r="AI75">
        <v>1</v>
      </c>
      <c r="AJ75">
        <v>0</v>
      </c>
      <c r="AK75" t="s">
        <v>54</v>
      </c>
      <c r="AL75">
        <v>0</v>
      </c>
      <c r="AM75">
        <v>1</v>
      </c>
      <c r="AN75" t="s">
        <v>107</v>
      </c>
      <c r="AO75" s="4">
        <f t="shared" si="17"/>
        <v>0</v>
      </c>
      <c r="AP75" s="4">
        <f t="shared" si="17"/>
        <v>100</v>
      </c>
      <c r="AQ75" t="s">
        <v>108</v>
      </c>
      <c r="AR75" s="4" t="str">
        <f t="shared" si="20"/>
        <v>BXX</v>
      </c>
      <c r="AS75" t="s">
        <v>14</v>
      </c>
      <c r="AT75" s="4" t="str">
        <f>$A$5&amp;".AO_SV"</f>
        <v>BXX_DEV1_SI1.AO_SV</v>
      </c>
      <c r="AU75" t="s">
        <v>14</v>
      </c>
      <c r="AV75" s="4" t="str">
        <f t="shared" si="16"/>
        <v>BXX Pump 2 Speed Override Value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</row>
    <row r="76" spans="1:64" x14ac:dyDescent="0.25">
      <c r="A76" s="4" t="str">
        <f>$A$5&amp;"_SN_ZA"</f>
        <v>BXX_DEV1_SI1_SN_ZA</v>
      </c>
      <c r="B76" s="4" t="str">
        <f t="shared" si="18"/>
        <v>BXX_DEV1_SI1</v>
      </c>
      <c r="C76" s="4" t="str">
        <f>$C$5 &amp; " Deviation Alarm Delay"</f>
        <v>BXX Pump 2 Speed Deviation Alarm Delay</v>
      </c>
      <c r="D76" s="2">
        <f t="shared" si="10"/>
        <v>38</v>
      </c>
      <c r="E76" t="s">
        <v>14</v>
      </c>
      <c r="F76" t="s">
        <v>13</v>
      </c>
      <c r="G76" s="5">
        <v>900</v>
      </c>
      <c r="H76" t="s">
        <v>13</v>
      </c>
      <c r="I76" t="s">
        <v>14</v>
      </c>
      <c r="J76">
        <v>0</v>
      </c>
      <c r="K76">
        <v>0</v>
      </c>
      <c r="L76" t="s">
        <v>109</v>
      </c>
      <c r="M76" s="4">
        <f t="shared" si="19"/>
        <v>0</v>
      </c>
      <c r="N76">
        <v>0</v>
      </c>
      <c r="O76">
        <v>999</v>
      </c>
      <c r="P76">
        <v>0</v>
      </c>
      <c r="Q76">
        <v>0</v>
      </c>
      <c r="R76" t="s">
        <v>54</v>
      </c>
      <c r="S76">
        <v>0</v>
      </c>
      <c r="T76">
        <v>1</v>
      </c>
      <c r="U76" t="s">
        <v>54</v>
      </c>
      <c r="V76">
        <v>0</v>
      </c>
      <c r="W76">
        <v>1</v>
      </c>
      <c r="X76" t="s">
        <v>54</v>
      </c>
      <c r="Y76">
        <v>0</v>
      </c>
      <c r="Z76">
        <v>1</v>
      </c>
      <c r="AA76" t="s">
        <v>54</v>
      </c>
      <c r="AB76">
        <v>0</v>
      </c>
      <c r="AC76">
        <v>1</v>
      </c>
      <c r="AD76" t="s">
        <v>54</v>
      </c>
      <c r="AE76">
        <v>0</v>
      </c>
      <c r="AF76">
        <v>1</v>
      </c>
      <c r="AG76" t="s">
        <v>54</v>
      </c>
      <c r="AH76">
        <v>0</v>
      </c>
      <c r="AI76">
        <v>1</v>
      </c>
      <c r="AJ76">
        <v>0</v>
      </c>
      <c r="AK76" t="s">
        <v>54</v>
      </c>
      <c r="AL76">
        <v>0</v>
      </c>
      <c r="AM76">
        <v>1</v>
      </c>
      <c r="AN76" t="s">
        <v>107</v>
      </c>
      <c r="AO76" s="4">
        <f t="shared" si="17"/>
        <v>0</v>
      </c>
      <c r="AP76" s="4">
        <f t="shared" si="17"/>
        <v>999</v>
      </c>
      <c r="AQ76" t="s">
        <v>108</v>
      </c>
      <c r="AR76" s="4" t="str">
        <f t="shared" si="20"/>
        <v>BXX</v>
      </c>
      <c r="AS76" t="s">
        <v>14</v>
      </c>
      <c r="AT76" s="4" t="str">
        <f>$A$5&amp;".SN_LO"</f>
        <v>BXX_DEV1_SI1.SN_LO</v>
      </c>
      <c r="AU76" t="s">
        <v>14</v>
      </c>
      <c r="AV76" s="4" t="str">
        <f t="shared" si="16"/>
        <v>BXX Pump 2 Speed Deviation Alarm Delay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</row>
    <row r="77" spans="1:64" x14ac:dyDescent="0.25">
      <c r="A77" s="4" t="str">
        <f>$A$5&amp;"_AO_ZA"</f>
        <v>BXX_DEV1_SI1_AO_ZA</v>
      </c>
      <c r="B77" s="4" t="str">
        <f t="shared" si="18"/>
        <v>BXX_DEV1_SI1</v>
      </c>
      <c r="C77" s="4" t="str">
        <f>$C$5 &amp; " Deviation Setpoint"</f>
        <v>BXX Pump 2 Speed Deviation Setpoint</v>
      </c>
      <c r="D77" s="2">
        <f t="shared" si="10"/>
        <v>35</v>
      </c>
      <c r="E77" t="s">
        <v>14</v>
      </c>
      <c r="F77" t="s">
        <v>13</v>
      </c>
      <c r="G77" s="5">
        <v>900</v>
      </c>
      <c r="H77" t="s">
        <v>13</v>
      </c>
      <c r="I77" t="s">
        <v>14</v>
      </c>
      <c r="J77">
        <v>0</v>
      </c>
      <c r="K77">
        <v>0</v>
      </c>
      <c r="L77" s="4" t="str">
        <f t="shared" ref="L77" si="24">$L$35</f>
        <v>None</v>
      </c>
      <c r="M77" s="4">
        <f t="shared" si="19"/>
        <v>0</v>
      </c>
      <c r="N77" s="4">
        <f t="shared" si="22"/>
        <v>0</v>
      </c>
      <c r="O77" s="4">
        <f t="shared" si="23"/>
        <v>100</v>
      </c>
      <c r="P77">
        <v>0</v>
      </c>
      <c r="Q77">
        <v>0</v>
      </c>
      <c r="R77" t="s">
        <v>54</v>
      </c>
      <c r="S77">
        <v>0</v>
      </c>
      <c r="T77">
        <v>1</v>
      </c>
      <c r="U77" t="s">
        <v>54</v>
      </c>
      <c r="V77">
        <v>0</v>
      </c>
      <c r="W77">
        <v>1</v>
      </c>
      <c r="X77" t="s">
        <v>54</v>
      </c>
      <c r="Y77">
        <v>0</v>
      </c>
      <c r="Z77">
        <v>1</v>
      </c>
      <c r="AA77" t="s">
        <v>54</v>
      </c>
      <c r="AB77">
        <v>0</v>
      </c>
      <c r="AC77">
        <v>1</v>
      </c>
      <c r="AD77" t="s">
        <v>54</v>
      </c>
      <c r="AE77">
        <v>0</v>
      </c>
      <c r="AF77">
        <v>1</v>
      </c>
      <c r="AG77" t="s">
        <v>54</v>
      </c>
      <c r="AH77">
        <v>0</v>
      </c>
      <c r="AI77">
        <v>1</v>
      </c>
      <c r="AJ77">
        <v>0</v>
      </c>
      <c r="AK77" t="s">
        <v>54</v>
      </c>
      <c r="AL77">
        <v>0</v>
      </c>
      <c r="AM77">
        <v>1</v>
      </c>
      <c r="AN77" t="s">
        <v>107</v>
      </c>
      <c r="AO77" s="4">
        <f t="shared" si="17"/>
        <v>0</v>
      </c>
      <c r="AP77" s="4">
        <f t="shared" si="17"/>
        <v>100</v>
      </c>
      <c r="AQ77" t="s">
        <v>108</v>
      </c>
      <c r="AR77" s="4" t="str">
        <f t="shared" si="20"/>
        <v>BXX</v>
      </c>
      <c r="AS77" t="s">
        <v>14</v>
      </c>
      <c r="AT77" s="4" t="str">
        <f>$A$5&amp;".AO_LL"</f>
        <v>BXX_DEV1_SI1.AO_LL</v>
      </c>
      <c r="AU77" t="s">
        <v>14</v>
      </c>
      <c r="AV77" s="4" t="str">
        <f t="shared" si="16"/>
        <v>BXX Pump 2 Speed Deviation Setpoint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</row>
    <row r="78" spans="1:64" x14ac:dyDescent="0.25">
      <c r="A78" s="5" t="s">
        <v>123</v>
      </c>
      <c r="B78" t="s">
        <v>16</v>
      </c>
      <c r="C78" t="s">
        <v>17</v>
      </c>
      <c r="D78" s="2">
        <f t="shared" si="10"/>
        <v>7</v>
      </c>
      <c r="E78" t="s">
        <v>39</v>
      </c>
      <c r="F78" t="s">
        <v>18</v>
      </c>
      <c r="G78" t="s">
        <v>19</v>
      </c>
      <c r="H78" t="s">
        <v>40</v>
      </c>
      <c r="I78" t="s">
        <v>124</v>
      </c>
      <c r="J78" t="s">
        <v>125</v>
      </c>
      <c r="K78" t="s">
        <v>51</v>
      </c>
      <c r="L78" t="s">
        <v>53</v>
      </c>
    </row>
    <row r="79" spans="1:64" x14ac:dyDescent="0.25">
      <c r="A79" s="4" t="str">
        <f>$A$3&amp;"_DI_NM"</f>
        <v>BXX_SLP2_VF1_DI_NM</v>
      </c>
      <c r="B79" s="4" t="str">
        <f>$A$3</f>
        <v>BXX_SLP2_VF1</v>
      </c>
      <c r="C79" s="4" t="str">
        <f>$A$3</f>
        <v>BXX_SLP2_VF1</v>
      </c>
      <c r="D79" s="2">
        <f t="shared" si="10"/>
        <v>12</v>
      </c>
      <c r="E79" t="s">
        <v>14</v>
      </c>
      <c r="F79" t="s">
        <v>14</v>
      </c>
      <c r="G79">
        <v>0</v>
      </c>
      <c r="H79" t="s">
        <v>13</v>
      </c>
      <c r="I79">
        <v>24</v>
      </c>
      <c r="J79" s="4" t="str">
        <f>$A$3</f>
        <v>BXX_SLP2_VF1</v>
      </c>
      <c r="K79" s="4" t="str">
        <f>$A$3</f>
        <v>BXX_SLP2_VF1</v>
      </c>
    </row>
    <row r="80" spans="1:64" x14ac:dyDescent="0.25">
      <c r="A80" s="4" t="str">
        <f>$A$5&amp;"_DI_NM"</f>
        <v>BXX_DEV1_SI1_DI_NM</v>
      </c>
      <c r="B80" s="4" t="str">
        <f>$A$5</f>
        <v>BXX_DEV1_SI1</v>
      </c>
      <c r="C80" s="4" t="str">
        <f>$A$5</f>
        <v>BXX_DEV1_SI1</v>
      </c>
      <c r="D80" s="2">
        <f t="shared" si="10"/>
        <v>12</v>
      </c>
      <c r="E80" t="s">
        <v>14</v>
      </c>
      <c r="F80" t="s">
        <v>14</v>
      </c>
      <c r="G80">
        <v>0</v>
      </c>
      <c r="H80" t="s">
        <v>13</v>
      </c>
      <c r="I80">
        <v>24</v>
      </c>
      <c r="J80" s="4" t="str">
        <f>C80</f>
        <v>BXX_DEV1_SI1</v>
      </c>
      <c r="K80" s="4" t="str">
        <f>C80</f>
        <v>BXX_DEV1_SI1</v>
      </c>
    </row>
    <row r="81" spans="1:16" x14ac:dyDescent="0.25">
      <c r="A81" t="s">
        <v>592</v>
      </c>
      <c r="B81" t="s">
        <v>127</v>
      </c>
      <c r="C81" t="s">
        <v>194</v>
      </c>
      <c r="E81" t="s">
        <v>14</v>
      </c>
      <c r="F81" t="s">
        <v>14</v>
      </c>
      <c r="G81">
        <v>0</v>
      </c>
      <c r="H81" t="s">
        <v>13</v>
      </c>
      <c r="I81">
        <v>131</v>
      </c>
    </row>
    <row r="82" spans="1:16" x14ac:dyDescent="0.25">
      <c r="A82" t="s">
        <v>593</v>
      </c>
      <c r="B82" t="s">
        <v>127</v>
      </c>
      <c r="C82" t="s">
        <v>195</v>
      </c>
      <c r="E82" t="s">
        <v>14</v>
      </c>
      <c r="F82" t="s">
        <v>14</v>
      </c>
      <c r="G82">
        <v>0</v>
      </c>
      <c r="H82" t="s">
        <v>13</v>
      </c>
      <c r="I82">
        <v>131</v>
      </c>
    </row>
    <row r="83" spans="1:16" x14ac:dyDescent="0.25">
      <c r="A83" t="s">
        <v>594</v>
      </c>
      <c r="B83" t="s">
        <v>127</v>
      </c>
      <c r="C83" t="s">
        <v>196</v>
      </c>
      <c r="E83" t="s">
        <v>14</v>
      </c>
      <c r="F83" t="s">
        <v>14</v>
      </c>
      <c r="G83">
        <v>0</v>
      </c>
      <c r="H83" t="s">
        <v>13</v>
      </c>
      <c r="I83">
        <v>131</v>
      </c>
    </row>
    <row r="84" spans="1:16" x14ac:dyDescent="0.25">
      <c r="A84" t="s">
        <v>197</v>
      </c>
      <c r="B84" t="s">
        <v>127</v>
      </c>
      <c r="C84" t="s">
        <v>198</v>
      </c>
      <c r="E84" t="s">
        <v>14</v>
      </c>
      <c r="F84" t="s">
        <v>14</v>
      </c>
      <c r="G84">
        <v>0</v>
      </c>
      <c r="H84" t="s">
        <v>13</v>
      </c>
      <c r="I84">
        <v>64</v>
      </c>
      <c r="K84" t="s">
        <v>198</v>
      </c>
    </row>
    <row r="85" spans="1:16" x14ac:dyDescent="0.25">
      <c r="A85" t="s">
        <v>130</v>
      </c>
      <c r="B85" t="s">
        <v>16</v>
      </c>
      <c r="C85" t="s">
        <v>17</v>
      </c>
      <c r="E85" t="s">
        <v>39</v>
      </c>
      <c r="F85" t="s">
        <v>18</v>
      </c>
      <c r="G85" t="s">
        <v>19</v>
      </c>
      <c r="H85" t="s">
        <v>40</v>
      </c>
      <c r="I85" t="s">
        <v>124</v>
      </c>
      <c r="J85" t="s">
        <v>125</v>
      </c>
      <c r="K85" t="s">
        <v>47</v>
      </c>
      <c r="L85" t="s">
        <v>48</v>
      </c>
      <c r="M85" t="s">
        <v>49</v>
      </c>
      <c r="N85" t="s">
        <v>50</v>
      </c>
      <c r="O85" t="s">
        <v>51</v>
      </c>
      <c r="P85" t="s">
        <v>53</v>
      </c>
    </row>
    <row r="86" spans="1:16" x14ac:dyDescent="0.25">
      <c r="A86" s="4" t="str">
        <f>$A$3&amp;"_PB_AE_RN"</f>
        <v>BXX_SLP2_VF1_PB_AE_RN</v>
      </c>
      <c r="B86" s="4" t="str">
        <f t="shared" ref="B86:B91" si="25">$A$3</f>
        <v>BXX_SLP2_VF1</v>
      </c>
      <c r="C86" s="4" t="str">
        <f>$C$3 &amp; " Alarms Disabled Reason"</f>
        <v>BXX Pump 2 Alarms Disabled Reason</v>
      </c>
      <c r="D86" s="2">
        <f t="shared" ref="D86:D134" si="26">LEN(C86)</f>
        <v>33</v>
      </c>
      <c r="E86" t="s">
        <v>14</v>
      </c>
      <c r="F86" t="s">
        <v>14</v>
      </c>
      <c r="G86">
        <v>0</v>
      </c>
      <c r="H86" t="s">
        <v>13</v>
      </c>
      <c r="I86">
        <v>131</v>
      </c>
      <c r="J86" t="s">
        <v>131</v>
      </c>
      <c r="K86" s="5" t="s">
        <v>630</v>
      </c>
      <c r="L86" t="s">
        <v>13</v>
      </c>
      <c r="M86" s="4" t="str">
        <f t="shared" ref="M86:M91" si="27">A86</f>
        <v>BXX_SLP2_VF1_PB_AE_RN</v>
      </c>
      <c r="N86" t="s">
        <v>14</v>
      </c>
      <c r="O86" s="4" t="str">
        <f t="shared" ref="O86:O91" si="28">C86</f>
        <v>BXX Pump 2 Alarms Disabled Reason</v>
      </c>
    </row>
    <row r="87" spans="1:16" x14ac:dyDescent="0.25">
      <c r="A87" s="4" t="str">
        <f>$A$3&amp;"_PB_ES_SR"</f>
        <v>BXX_SLP2_VF1_PB_ES_SR</v>
      </c>
      <c r="B87" s="4" t="str">
        <f t="shared" si="25"/>
        <v>BXX_SLP2_VF1</v>
      </c>
      <c r="C87" s="4" t="str">
        <f>$C$3&amp;" E-Stop Disabled Reason"</f>
        <v>BXX Pump 2 E-Stop Disabled Reason</v>
      </c>
      <c r="D87" s="2">
        <f t="shared" si="26"/>
        <v>33</v>
      </c>
      <c r="E87" t="s">
        <v>14</v>
      </c>
      <c r="F87" t="s">
        <v>14</v>
      </c>
      <c r="G87">
        <v>0</v>
      </c>
      <c r="H87" t="s">
        <v>13</v>
      </c>
      <c r="I87">
        <v>131</v>
      </c>
      <c r="J87" t="s">
        <v>131</v>
      </c>
      <c r="K87" s="4" t="str">
        <f>$K$86</f>
        <v>BXXCPU01_1</v>
      </c>
      <c r="L87" t="s">
        <v>13</v>
      </c>
      <c r="M87" s="4" t="str">
        <f t="shared" si="27"/>
        <v>BXX_SLP2_VF1_PB_ES_SR</v>
      </c>
      <c r="N87" t="s">
        <v>14</v>
      </c>
      <c r="O87" s="4" t="str">
        <f t="shared" si="28"/>
        <v>BXX Pump 2 E-Stop Disabled Reason</v>
      </c>
    </row>
    <row r="88" spans="1:16" x14ac:dyDescent="0.25">
      <c r="A88" s="4" t="str">
        <f>$A$3&amp;"_PB_RA_SR"</f>
        <v>BXX_SLP2_VF1_PB_RA_SR</v>
      </c>
      <c r="B88" s="4" t="str">
        <f t="shared" si="25"/>
        <v>BXX_SLP2_VF1</v>
      </c>
      <c r="C88" s="4" t="str">
        <f>$C$3&amp;" Overload Disabled Reason"</f>
        <v>BXX Pump 2 Overload Disabled Reason</v>
      </c>
      <c r="D88" s="2">
        <f t="shared" si="26"/>
        <v>35</v>
      </c>
      <c r="E88" t="s">
        <v>14</v>
      </c>
      <c r="F88" t="s">
        <v>14</v>
      </c>
      <c r="G88">
        <v>0</v>
      </c>
      <c r="H88" t="s">
        <v>13</v>
      </c>
      <c r="I88">
        <v>131</v>
      </c>
      <c r="J88" t="s">
        <v>131</v>
      </c>
      <c r="K88" s="4" t="str">
        <f t="shared" ref="K88:K91" si="29">$K$86</f>
        <v>BXXCPU01_1</v>
      </c>
      <c r="L88" t="s">
        <v>13</v>
      </c>
      <c r="M88" s="4" t="str">
        <f t="shared" si="27"/>
        <v>BXX_SLP2_VF1_PB_RA_SR</v>
      </c>
      <c r="N88" t="s">
        <v>14</v>
      </c>
      <c r="O88" s="4" t="str">
        <f t="shared" si="28"/>
        <v>BXX Pump 2 Overload Disabled Reason</v>
      </c>
    </row>
    <row r="89" spans="1:16" x14ac:dyDescent="0.25">
      <c r="A89" s="4" t="str">
        <f>$A$3&amp;"_PB_DF_SR"</f>
        <v>BXX_SLP2_VF1_PB_DF_SR</v>
      </c>
      <c r="B89" s="4" t="str">
        <f t="shared" si="25"/>
        <v>BXX_SLP2_VF1</v>
      </c>
      <c r="C89" s="4" t="str">
        <f>$C$3&amp;" Not Ready Disabled Reason"</f>
        <v>BXX Pump 2 Not Ready Disabled Reason</v>
      </c>
      <c r="D89" s="2">
        <f t="shared" si="26"/>
        <v>36</v>
      </c>
      <c r="E89" t="s">
        <v>14</v>
      </c>
      <c r="F89" t="s">
        <v>14</v>
      </c>
      <c r="G89">
        <v>0</v>
      </c>
      <c r="H89" t="s">
        <v>13</v>
      </c>
      <c r="I89">
        <v>131</v>
      </c>
      <c r="J89" t="s">
        <v>131</v>
      </c>
      <c r="K89" s="4" t="str">
        <f t="shared" si="29"/>
        <v>BXXCPU01_1</v>
      </c>
      <c r="L89" t="s">
        <v>13</v>
      </c>
      <c r="M89" s="4" t="str">
        <f t="shared" si="27"/>
        <v>BXX_SLP2_VF1_PB_DF_SR</v>
      </c>
      <c r="N89" t="s">
        <v>14</v>
      </c>
      <c r="O89" s="4" t="str">
        <f t="shared" si="28"/>
        <v>BXX Pump 2 Not Ready Disabled Reason</v>
      </c>
    </row>
    <row r="90" spans="1:16" x14ac:dyDescent="0.25">
      <c r="A90" s="4" t="str">
        <f>$A$3&amp;"_PB_GA_SR"</f>
        <v>BXX_SLP2_VF1_PB_GA_SR</v>
      </c>
      <c r="B90" s="4" t="str">
        <f t="shared" si="25"/>
        <v>BXX_SLP2_VF1</v>
      </c>
      <c r="C90" s="4" t="str">
        <f>$C$3&amp;" VFD Fault Disabled Reason"</f>
        <v>BXX Pump 2 VFD Fault Disabled Reason</v>
      </c>
      <c r="D90" s="2">
        <f t="shared" si="26"/>
        <v>36</v>
      </c>
      <c r="E90" t="s">
        <v>14</v>
      </c>
      <c r="F90" t="s">
        <v>14</v>
      </c>
      <c r="G90">
        <v>0</v>
      </c>
      <c r="H90" t="s">
        <v>13</v>
      </c>
      <c r="I90">
        <v>131</v>
      </c>
      <c r="J90" t="s">
        <v>131</v>
      </c>
      <c r="K90" s="4" t="str">
        <f t="shared" si="29"/>
        <v>BXXCPU01_1</v>
      </c>
      <c r="L90" t="s">
        <v>13</v>
      </c>
      <c r="M90" s="4" t="str">
        <f t="shared" si="27"/>
        <v>BXX_SLP2_VF1_PB_GA_SR</v>
      </c>
      <c r="N90" t="s">
        <v>14</v>
      </c>
      <c r="O90" s="4" t="str">
        <f t="shared" si="28"/>
        <v>BXX Pump 2 VFD Fault Disabled Reason</v>
      </c>
    </row>
    <row r="91" spans="1:16" x14ac:dyDescent="0.25">
      <c r="A91" s="4" t="str">
        <f>$A$3&amp;"_PB_TA_SR"</f>
        <v>BXX_SLP2_VF1_PB_TA_SR</v>
      </c>
      <c r="B91" s="4" t="str">
        <f t="shared" si="25"/>
        <v>BXX_SLP2_VF1</v>
      </c>
      <c r="C91" s="4" t="str">
        <f>$C$3&amp;" Temp/Leak Disabled Reason"</f>
        <v>BXX Pump 2 Temp/Leak Disabled Reason</v>
      </c>
      <c r="D91" s="2">
        <f t="shared" si="26"/>
        <v>36</v>
      </c>
      <c r="E91" t="s">
        <v>14</v>
      </c>
      <c r="F91" t="s">
        <v>14</v>
      </c>
      <c r="G91">
        <v>0</v>
      </c>
      <c r="H91" t="s">
        <v>13</v>
      </c>
      <c r="I91">
        <v>131</v>
      </c>
      <c r="J91" t="s">
        <v>131</v>
      </c>
      <c r="K91" s="4" t="str">
        <f t="shared" si="29"/>
        <v>BXXCPU01_1</v>
      </c>
      <c r="L91" t="s">
        <v>13</v>
      </c>
      <c r="M91" s="4" t="str">
        <f t="shared" si="27"/>
        <v>BXX_SLP2_VF1_PB_TA_SR</v>
      </c>
      <c r="N91" t="s">
        <v>14</v>
      </c>
      <c r="O91" s="4" t="str">
        <f t="shared" si="28"/>
        <v>BXX Pump 2 Temp/Leak Disabled Reason</v>
      </c>
    </row>
    <row r="92" spans="1:16" x14ac:dyDescent="0.25">
      <c r="A92" t="s">
        <v>560</v>
      </c>
      <c r="B92" t="s">
        <v>16</v>
      </c>
      <c r="C92" t="s">
        <v>17</v>
      </c>
      <c r="D92" s="2">
        <f t="shared" si="26"/>
        <v>7</v>
      </c>
      <c r="E92" t="s">
        <v>18</v>
      </c>
      <c r="F92" t="s">
        <v>19</v>
      </c>
      <c r="G92" t="s">
        <v>40</v>
      </c>
      <c r="H92" t="s">
        <v>53</v>
      </c>
    </row>
    <row r="93" spans="1:16" x14ac:dyDescent="0.25">
      <c r="A93" s="5" t="s">
        <v>437</v>
      </c>
      <c r="B93" t="s">
        <v>127</v>
      </c>
      <c r="C93" t="s">
        <v>199</v>
      </c>
      <c r="D93" s="2">
        <f t="shared" si="26"/>
        <v>34</v>
      </c>
      <c r="E93" t="s">
        <v>14</v>
      </c>
      <c r="F93">
        <v>0</v>
      </c>
      <c r="G93" t="s">
        <v>14</v>
      </c>
    </row>
    <row r="94" spans="1:16" x14ac:dyDescent="0.25">
      <c r="A94" s="5" t="s">
        <v>562</v>
      </c>
      <c r="B94" t="s">
        <v>127</v>
      </c>
      <c r="C94" t="s">
        <v>200</v>
      </c>
      <c r="D94" s="2">
        <f t="shared" si="26"/>
        <v>38</v>
      </c>
      <c r="E94" t="s">
        <v>14</v>
      </c>
      <c r="F94">
        <v>0</v>
      </c>
      <c r="G94" t="s">
        <v>14</v>
      </c>
    </row>
    <row r="95" spans="1:16" x14ac:dyDescent="0.25">
      <c r="A95" s="5" t="s">
        <v>563</v>
      </c>
      <c r="B95" t="s">
        <v>127</v>
      </c>
      <c r="C95" t="s">
        <v>201</v>
      </c>
      <c r="D95" s="2">
        <f t="shared" si="26"/>
        <v>40</v>
      </c>
      <c r="E95" t="s">
        <v>14</v>
      </c>
      <c r="F95">
        <v>0</v>
      </c>
      <c r="G95" t="s">
        <v>14</v>
      </c>
    </row>
    <row r="96" spans="1:16" x14ac:dyDescent="0.25">
      <c r="A96" s="5" t="s">
        <v>564</v>
      </c>
      <c r="B96" t="s">
        <v>127</v>
      </c>
      <c r="C96" t="s">
        <v>202</v>
      </c>
      <c r="D96" s="2">
        <f t="shared" si="26"/>
        <v>28</v>
      </c>
      <c r="E96" t="s">
        <v>14</v>
      </c>
      <c r="F96">
        <v>0</v>
      </c>
      <c r="G96" t="s">
        <v>14</v>
      </c>
    </row>
    <row r="97" spans="1:7" x14ac:dyDescent="0.25">
      <c r="A97" s="5" t="s">
        <v>565</v>
      </c>
      <c r="B97" t="s">
        <v>127</v>
      </c>
      <c r="C97" t="s">
        <v>203</v>
      </c>
      <c r="D97" s="2">
        <f t="shared" si="26"/>
        <v>42</v>
      </c>
      <c r="E97" t="s">
        <v>14</v>
      </c>
      <c r="F97">
        <v>0</v>
      </c>
      <c r="G97" t="s">
        <v>14</v>
      </c>
    </row>
    <row r="98" spans="1:7" x14ac:dyDescent="0.25">
      <c r="A98" s="5" t="s">
        <v>566</v>
      </c>
      <c r="B98" t="s">
        <v>127</v>
      </c>
      <c r="C98" t="s">
        <v>204</v>
      </c>
      <c r="D98" s="2">
        <f t="shared" si="26"/>
        <v>40</v>
      </c>
      <c r="E98" t="s">
        <v>14</v>
      </c>
      <c r="F98">
        <v>0</v>
      </c>
      <c r="G98" t="s">
        <v>14</v>
      </c>
    </row>
    <row r="99" spans="1:7" x14ac:dyDescent="0.25">
      <c r="A99" s="5" t="s">
        <v>567</v>
      </c>
      <c r="B99" t="s">
        <v>127</v>
      </c>
      <c r="C99" t="s">
        <v>205</v>
      </c>
      <c r="D99" s="2">
        <f t="shared" si="26"/>
        <v>35</v>
      </c>
      <c r="E99" t="s">
        <v>14</v>
      </c>
      <c r="F99">
        <v>0</v>
      </c>
      <c r="G99" t="s">
        <v>14</v>
      </c>
    </row>
    <row r="100" spans="1:7" x14ac:dyDescent="0.25">
      <c r="A100" s="5" t="s">
        <v>568</v>
      </c>
      <c r="B100" t="s">
        <v>127</v>
      </c>
      <c r="C100" t="s">
        <v>206</v>
      </c>
      <c r="D100" s="2">
        <f t="shared" si="26"/>
        <v>30</v>
      </c>
      <c r="E100" t="s">
        <v>14</v>
      </c>
      <c r="F100">
        <v>0</v>
      </c>
      <c r="G100" t="s">
        <v>14</v>
      </c>
    </row>
    <row r="101" spans="1:7" x14ac:dyDescent="0.25">
      <c r="A101" s="5" t="s">
        <v>569</v>
      </c>
      <c r="B101" t="s">
        <v>127</v>
      </c>
      <c r="C101" t="s">
        <v>207</v>
      </c>
      <c r="D101" s="2">
        <f t="shared" si="26"/>
        <v>31</v>
      </c>
      <c r="E101" t="s">
        <v>14</v>
      </c>
      <c r="F101">
        <v>0</v>
      </c>
      <c r="G101" t="s">
        <v>14</v>
      </c>
    </row>
    <row r="102" spans="1:7" x14ac:dyDescent="0.25">
      <c r="A102" s="5" t="s">
        <v>570</v>
      </c>
      <c r="B102" t="s">
        <v>127</v>
      </c>
      <c r="C102" t="s">
        <v>208</v>
      </c>
      <c r="D102" s="2">
        <f t="shared" si="26"/>
        <v>40</v>
      </c>
      <c r="E102" t="s">
        <v>14</v>
      </c>
      <c r="F102">
        <v>0</v>
      </c>
      <c r="G102" t="s">
        <v>14</v>
      </c>
    </row>
    <row r="103" spans="1:7" x14ac:dyDescent="0.25">
      <c r="A103" s="5" t="s">
        <v>571</v>
      </c>
      <c r="B103" t="s">
        <v>127</v>
      </c>
      <c r="C103" t="s">
        <v>209</v>
      </c>
      <c r="D103" s="2">
        <f t="shared" si="26"/>
        <v>38</v>
      </c>
      <c r="E103" t="s">
        <v>14</v>
      </c>
      <c r="F103">
        <v>0</v>
      </c>
      <c r="G103" t="s">
        <v>14</v>
      </c>
    </row>
    <row r="104" spans="1:7" x14ac:dyDescent="0.25">
      <c r="A104" s="5" t="s">
        <v>572</v>
      </c>
      <c r="B104" t="s">
        <v>127</v>
      </c>
      <c r="C104" t="s">
        <v>210</v>
      </c>
      <c r="D104" s="2">
        <f t="shared" si="26"/>
        <v>38</v>
      </c>
      <c r="E104" t="s">
        <v>14</v>
      </c>
      <c r="F104">
        <v>0</v>
      </c>
      <c r="G104" t="s">
        <v>14</v>
      </c>
    </row>
    <row r="105" spans="1:7" x14ac:dyDescent="0.25">
      <c r="A105" s="5" t="s">
        <v>573</v>
      </c>
      <c r="B105" t="s">
        <v>127</v>
      </c>
      <c r="C105" t="s">
        <v>211</v>
      </c>
      <c r="D105" s="2">
        <f t="shared" si="26"/>
        <v>39</v>
      </c>
      <c r="E105" t="s">
        <v>14</v>
      </c>
      <c r="F105">
        <v>0</v>
      </c>
      <c r="G105" t="s">
        <v>14</v>
      </c>
    </row>
    <row r="106" spans="1:7" x14ac:dyDescent="0.25">
      <c r="A106" s="5" t="s">
        <v>574</v>
      </c>
      <c r="B106" t="s">
        <v>127</v>
      </c>
      <c r="C106" t="s">
        <v>212</v>
      </c>
      <c r="D106" s="2">
        <f t="shared" si="26"/>
        <v>29</v>
      </c>
      <c r="E106" t="s">
        <v>14</v>
      </c>
      <c r="F106">
        <v>0</v>
      </c>
      <c r="G106" t="s">
        <v>14</v>
      </c>
    </row>
    <row r="107" spans="1:7" x14ac:dyDescent="0.25">
      <c r="A107" s="5" t="s">
        <v>470</v>
      </c>
      <c r="B107" t="s">
        <v>127</v>
      </c>
      <c r="C107" t="s">
        <v>213</v>
      </c>
      <c r="D107" s="2">
        <f t="shared" si="26"/>
        <v>41</v>
      </c>
      <c r="E107" t="s">
        <v>14</v>
      </c>
      <c r="F107">
        <v>0</v>
      </c>
      <c r="G107" t="s">
        <v>14</v>
      </c>
    </row>
    <row r="108" spans="1:7" x14ac:dyDescent="0.25">
      <c r="A108" s="5" t="s">
        <v>471</v>
      </c>
      <c r="B108" t="s">
        <v>127</v>
      </c>
      <c r="C108" t="s">
        <v>214</v>
      </c>
      <c r="D108" s="2">
        <f t="shared" si="26"/>
        <v>43</v>
      </c>
      <c r="E108" t="s">
        <v>14</v>
      </c>
      <c r="F108">
        <v>0</v>
      </c>
      <c r="G108" t="s">
        <v>14</v>
      </c>
    </row>
    <row r="109" spans="1:7" x14ac:dyDescent="0.25">
      <c r="A109" s="5" t="s">
        <v>472</v>
      </c>
      <c r="B109" t="s">
        <v>127</v>
      </c>
      <c r="C109" t="s">
        <v>215</v>
      </c>
      <c r="D109" s="2">
        <f t="shared" si="26"/>
        <v>44</v>
      </c>
      <c r="E109" t="s">
        <v>14</v>
      </c>
      <c r="F109">
        <v>0</v>
      </c>
      <c r="G109" t="s">
        <v>14</v>
      </c>
    </row>
    <row r="110" spans="1:7" x14ac:dyDescent="0.25">
      <c r="A110" s="5" t="s">
        <v>473</v>
      </c>
      <c r="B110" t="s">
        <v>127</v>
      </c>
      <c r="C110" t="s">
        <v>216</v>
      </c>
      <c r="D110" s="2">
        <f t="shared" si="26"/>
        <v>34</v>
      </c>
      <c r="E110" t="s">
        <v>14</v>
      </c>
      <c r="F110">
        <v>0</v>
      </c>
      <c r="G110" t="s">
        <v>14</v>
      </c>
    </row>
    <row r="111" spans="1:7" x14ac:dyDescent="0.25">
      <c r="A111" s="5" t="s">
        <v>474</v>
      </c>
      <c r="B111" t="s">
        <v>127</v>
      </c>
      <c r="C111" t="s">
        <v>217</v>
      </c>
      <c r="D111" s="2">
        <f t="shared" si="26"/>
        <v>44</v>
      </c>
      <c r="E111" t="s">
        <v>14</v>
      </c>
      <c r="F111">
        <v>0</v>
      </c>
      <c r="G111" t="s">
        <v>14</v>
      </c>
    </row>
    <row r="112" spans="1:7" x14ac:dyDescent="0.25">
      <c r="A112" s="5" t="s">
        <v>475</v>
      </c>
      <c r="B112" t="s">
        <v>127</v>
      </c>
      <c r="C112" t="s">
        <v>218</v>
      </c>
      <c r="D112" s="2">
        <f t="shared" si="26"/>
        <v>33</v>
      </c>
      <c r="E112" t="s">
        <v>14</v>
      </c>
      <c r="F112">
        <v>0</v>
      </c>
      <c r="G112" t="s">
        <v>14</v>
      </c>
    </row>
    <row r="113" spans="1:8" x14ac:dyDescent="0.25">
      <c r="A113" s="5" t="s">
        <v>476</v>
      </c>
      <c r="B113" t="s">
        <v>127</v>
      </c>
      <c r="C113" t="s">
        <v>219</v>
      </c>
      <c r="D113" s="2">
        <f t="shared" si="26"/>
        <v>35</v>
      </c>
      <c r="E113" t="s">
        <v>14</v>
      </c>
      <c r="F113">
        <v>0</v>
      </c>
      <c r="G113" t="s">
        <v>14</v>
      </c>
    </row>
    <row r="114" spans="1:8" x14ac:dyDescent="0.25">
      <c r="A114" s="5" t="s">
        <v>477</v>
      </c>
      <c r="B114" t="s">
        <v>127</v>
      </c>
      <c r="C114" t="s">
        <v>220</v>
      </c>
      <c r="D114" s="2">
        <f t="shared" si="26"/>
        <v>38</v>
      </c>
      <c r="E114" t="s">
        <v>14</v>
      </c>
      <c r="F114">
        <v>0</v>
      </c>
      <c r="G114" t="s">
        <v>14</v>
      </c>
    </row>
    <row r="115" spans="1:8" x14ac:dyDescent="0.25">
      <c r="A115" s="5" t="s">
        <v>478</v>
      </c>
      <c r="B115" t="s">
        <v>127</v>
      </c>
      <c r="C115" t="s">
        <v>221</v>
      </c>
      <c r="D115" s="2">
        <f t="shared" si="26"/>
        <v>37</v>
      </c>
      <c r="E115" t="s">
        <v>14</v>
      </c>
      <c r="F115">
        <v>0</v>
      </c>
      <c r="G115" t="s">
        <v>14</v>
      </c>
    </row>
    <row r="116" spans="1:8" x14ac:dyDescent="0.25">
      <c r="A116" s="5" t="s">
        <v>479</v>
      </c>
      <c r="B116" t="s">
        <v>127</v>
      </c>
      <c r="C116" t="s">
        <v>222</v>
      </c>
      <c r="D116" s="2">
        <f t="shared" si="26"/>
        <v>40</v>
      </c>
      <c r="E116" t="s">
        <v>14</v>
      </c>
      <c r="F116">
        <v>0</v>
      </c>
      <c r="G116" t="s">
        <v>14</v>
      </c>
    </row>
    <row r="117" spans="1:8" x14ac:dyDescent="0.25">
      <c r="A117" s="5" t="s">
        <v>576</v>
      </c>
      <c r="B117" t="s">
        <v>127</v>
      </c>
      <c r="C117" t="s">
        <v>223</v>
      </c>
      <c r="D117" s="2">
        <f t="shared" si="26"/>
        <v>41</v>
      </c>
      <c r="E117" t="s">
        <v>14</v>
      </c>
      <c r="F117">
        <v>0</v>
      </c>
      <c r="G117" t="s">
        <v>14</v>
      </c>
    </row>
    <row r="118" spans="1:8" x14ac:dyDescent="0.25">
      <c r="A118" s="5" t="s">
        <v>577</v>
      </c>
      <c r="B118" t="s">
        <v>127</v>
      </c>
      <c r="C118" t="s">
        <v>224</v>
      </c>
      <c r="D118" s="2">
        <f t="shared" si="26"/>
        <v>36</v>
      </c>
      <c r="E118" t="s">
        <v>14</v>
      </c>
      <c r="F118">
        <v>0</v>
      </c>
      <c r="G118" t="s">
        <v>14</v>
      </c>
    </row>
    <row r="119" spans="1:8" x14ac:dyDescent="0.25">
      <c r="A119" s="5" t="s">
        <v>578</v>
      </c>
      <c r="B119" t="s">
        <v>127</v>
      </c>
      <c r="C119" t="s">
        <v>225</v>
      </c>
      <c r="D119" s="2">
        <f t="shared" si="26"/>
        <v>48</v>
      </c>
      <c r="E119" t="s">
        <v>14</v>
      </c>
      <c r="F119">
        <v>0</v>
      </c>
      <c r="G119" t="s">
        <v>14</v>
      </c>
    </row>
    <row r="120" spans="1:8" x14ac:dyDescent="0.25">
      <c r="A120" s="5" t="s">
        <v>579</v>
      </c>
      <c r="B120" t="s">
        <v>127</v>
      </c>
      <c r="C120" t="s">
        <v>226</v>
      </c>
      <c r="D120" s="2">
        <f t="shared" si="26"/>
        <v>40</v>
      </c>
      <c r="E120" t="s">
        <v>14</v>
      </c>
      <c r="F120">
        <v>0</v>
      </c>
      <c r="G120" t="s">
        <v>14</v>
      </c>
    </row>
    <row r="121" spans="1:8" x14ac:dyDescent="0.25">
      <c r="A121" s="5" t="s">
        <v>580</v>
      </c>
      <c r="B121" t="s">
        <v>127</v>
      </c>
      <c r="C121" t="s">
        <v>227</v>
      </c>
      <c r="D121" s="2">
        <f t="shared" si="26"/>
        <v>43</v>
      </c>
      <c r="E121" t="s">
        <v>14</v>
      </c>
      <c r="F121">
        <v>0</v>
      </c>
      <c r="G121" t="s">
        <v>14</v>
      </c>
    </row>
    <row r="122" spans="1:8" x14ac:dyDescent="0.25">
      <c r="A122" s="5" t="s">
        <v>581</v>
      </c>
      <c r="B122" t="s">
        <v>127</v>
      </c>
      <c r="C122" t="s">
        <v>228</v>
      </c>
      <c r="D122" s="2">
        <f t="shared" si="26"/>
        <v>47</v>
      </c>
      <c r="E122" t="s">
        <v>14</v>
      </c>
      <c r="F122">
        <v>0</v>
      </c>
      <c r="G122" t="s">
        <v>14</v>
      </c>
    </row>
    <row r="123" spans="1:8" x14ac:dyDescent="0.25">
      <c r="A123" t="s">
        <v>561</v>
      </c>
      <c r="B123" t="s">
        <v>16</v>
      </c>
      <c r="C123" t="s">
        <v>17</v>
      </c>
      <c r="D123" s="2">
        <f t="shared" si="26"/>
        <v>7</v>
      </c>
      <c r="E123" t="s">
        <v>18</v>
      </c>
      <c r="F123" t="s">
        <v>19</v>
      </c>
      <c r="G123" t="s">
        <v>40</v>
      </c>
      <c r="H123" t="s">
        <v>53</v>
      </c>
    </row>
    <row r="124" spans="1:8" x14ac:dyDescent="0.25">
      <c r="A124" s="5" t="s">
        <v>229</v>
      </c>
      <c r="B124" t="s">
        <v>127</v>
      </c>
      <c r="C124" t="s">
        <v>230</v>
      </c>
      <c r="D124" s="2">
        <f t="shared" si="26"/>
        <v>42</v>
      </c>
      <c r="E124" t="s">
        <v>14</v>
      </c>
      <c r="F124">
        <v>0</v>
      </c>
      <c r="G124" t="s">
        <v>14</v>
      </c>
    </row>
    <row r="125" spans="1:8" x14ac:dyDescent="0.25">
      <c r="A125" s="5" t="s">
        <v>231</v>
      </c>
      <c r="B125" t="s">
        <v>127</v>
      </c>
      <c r="C125" t="s">
        <v>232</v>
      </c>
      <c r="D125" s="2">
        <f t="shared" si="26"/>
        <v>42</v>
      </c>
      <c r="E125" t="s">
        <v>14</v>
      </c>
      <c r="F125">
        <v>0</v>
      </c>
      <c r="G125" t="s">
        <v>14</v>
      </c>
    </row>
    <row r="126" spans="1:8" x14ac:dyDescent="0.25">
      <c r="A126" s="5" t="s">
        <v>233</v>
      </c>
      <c r="B126" t="s">
        <v>127</v>
      </c>
      <c r="C126" t="s">
        <v>234</v>
      </c>
      <c r="D126" s="2">
        <f t="shared" si="26"/>
        <v>37</v>
      </c>
      <c r="E126" t="s">
        <v>14</v>
      </c>
      <c r="F126">
        <v>0</v>
      </c>
      <c r="G126" t="s">
        <v>14</v>
      </c>
    </row>
    <row r="127" spans="1:8" x14ac:dyDescent="0.25">
      <c r="A127" s="5" t="s">
        <v>504</v>
      </c>
      <c r="B127" t="s">
        <v>127</v>
      </c>
      <c r="C127" t="s">
        <v>235</v>
      </c>
      <c r="D127" s="2">
        <f t="shared" si="26"/>
        <v>33</v>
      </c>
      <c r="E127" t="s">
        <v>14</v>
      </c>
      <c r="F127">
        <v>0</v>
      </c>
      <c r="G127" t="s">
        <v>14</v>
      </c>
    </row>
    <row r="128" spans="1:8" x14ac:dyDescent="0.25">
      <c r="A128" s="5" t="s">
        <v>505</v>
      </c>
      <c r="B128" t="s">
        <v>127</v>
      </c>
      <c r="C128" t="s">
        <v>236</v>
      </c>
      <c r="D128" s="2">
        <f t="shared" si="26"/>
        <v>44</v>
      </c>
      <c r="E128" t="s">
        <v>14</v>
      </c>
      <c r="F128">
        <v>0</v>
      </c>
      <c r="G128" t="s">
        <v>14</v>
      </c>
    </row>
    <row r="129" spans="1:7" x14ac:dyDescent="0.25">
      <c r="A129" s="5" t="s">
        <v>491</v>
      </c>
      <c r="B129" t="s">
        <v>127</v>
      </c>
      <c r="C129" t="s">
        <v>237</v>
      </c>
      <c r="D129" s="2">
        <f t="shared" si="26"/>
        <v>41</v>
      </c>
      <c r="E129" t="s">
        <v>14</v>
      </c>
      <c r="F129">
        <v>0</v>
      </c>
      <c r="G129" t="s">
        <v>14</v>
      </c>
    </row>
    <row r="130" spans="1:7" x14ac:dyDescent="0.25">
      <c r="A130" s="5" t="s">
        <v>492</v>
      </c>
      <c r="B130" t="s">
        <v>127</v>
      </c>
      <c r="C130" t="s">
        <v>238</v>
      </c>
      <c r="D130" s="2">
        <f t="shared" si="26"/>
        <v>37</v>
      </c>
      <c r="E130" t="s">
        <v>14</v>
      </c>
      <c r="F130">
        <v>0</v>
      </c>
      <c r="G130" t="s">
        <v>14</v>
      </c>
    </row>
    <row r="131" spans="1:7" x14ac:dyDescent="0.25">
      <c r="A131" s="5" t="s">
        <v>575</v>
      </c>
      <c r="B131" t="s">
        <v>127</v>
      </c>
      <c r="C131" t="s">
        <v>239</v>
      </c>
      <c r="D131" s="2">
        <f t="shared" si="26"/>
        <v>23</v>
      </c>
      <c r="E131" t="s">
        <v>14</v>
      </c>
      <c r="F131">
        <v>0</v>
      </c>
      <c r="G131" t="s">
        <v>14</v>
      </c>
    </row>
    <row r="132" spans="1:7" x14ac:dyDescent="0.25">
      <c r="A132" s="5" t="s">
        <v>617</v>
      </c>
      <c r="B132" t="s">
        <v>127</v>
      </c>
      <c r="C132" t="s">
        <v>240</v>
      </c>
      <c r="D132" s="2">
        <f t="shared" si="26"/>
        <v>31</v>
      </c>
      <c r="E132" t="s">
        <v>14</v>
      </c>
      <c r="F132">
        <v>0</v>
      </c>
      <c r="G132" t="s">
        <v>14</v>
      </c>
    </row>
    <row r="133" spans="1:7" x14ac:dyDescent="0.25">
      <c r="A133" s="5" t="s">
        <v>618</v>
      </c>
      <c r="B133" t="s">
        <v>127</v>
      </c>
      <c r="C133" t="s">
        <v>241</v>
      </c>
      <c r="D133" s="2">
        <f t="shared" si="26"/>
        <v>31</v>
      </c>
      <c r="E133" t="s">
        <v>14</v>
      </c>
      <c r="F133">
        <v>0</v>
      </c>
      <c r="G133" t="s">
        <v>14</v>
      </c>
    </row>
    <row r="134" spans="1:7" x14ac:dyDescent="0.25">
      <c r="A134" s="5" t="s">
        <v>619</v>
      </c>
      <c r="B134" t="s">
        <v>127</v>
      </c>
      <c r="C134" t="s">
        <v>242</v>
      </c>
      <c r="D134" s="2">
        <f t="shared" si="26"/>
        <v>42</v>
      </c>
      <c r="E134" t="s">
        <v>14</v>
      </c>
      <c r="F134">
        <v>0</v>
      </c>
      <c r="G134" t="s">
        <v>14</v>
      </c>
    </row>
    <row r="135" spans="1:7" x14ac:dyDescent="0.25">
      <c r="A135" s="5" t="s">
        <v>620</v>
      </c>
      <c r="B135" t="s">
        <v>127</v>
      </c>
      <c r="C135" t="s">
        <v>243</v>
      </c>
      <c r="D135" s="2">
        <f t="shared" ref="D135:D154" si="30">LEN(C135)</f>
        <v>45</v>
      </c>
      <c r="E135" t="s">
        <v>14</v>
      </c>
      <c r="F135">
        <v>0</v>
      </c>
      <c r="G135" t="s">
        <v>14</v>
      </c>
    </row>
    <row r="136" spans="1:7" x14ac:dyDescent="0.25">
      <c r="A136" s="5" t="s">
        <v>621</v>
      </c>
      <c r="B136" t="s">
        <v>127</v>
      </c>
      <c r="C136" t="s">
        <v>244</v>
      </c>
      <c r="D136" s="2">
        <f t="shared" si="30"/>
        <v>48</v>
      </c>
      <c r="E136" t="s">
        <v>14</v>
      </c>
      <c r="F136">
        <v>0</v>
      </c>
      <c r="G136" t="s">
        <v>14</v>
      </c>
    </row>
    <row r="137" spans="1:7" x14ac:dyDescent="0.25">
      <c r="A137" s="5" t="s">
        <v>582</v>
      </c>
      <c r="B137" t="s">
        <v>127</v>
      </c>
      <c r="C137" t="s">
        <v>245</v>
      </c>
      <c r="D137" s="2">
        <f t="shared" si="30"/>
        <v>49</v>
      </c>
      <c r="E137" t="s">
        <v>14</v>
      </c>
      <c r="F137">
        <v>0</v>
      </c>
      <c r="G137" t="s">
        <v>14</v>
      </c>
    </row>
    <row r="138" spans="1:7" x14ac:dyDescent="0.25">
      <c r="A138" s="5" t="s">
        <v>583</v>
      </c>
      <c r="B138" t="s">
        <v>127</v>
      </c>
      <c r="C138" t="s">
        <v>246</v>
      </c>
      <c r="D138" s="2">
        <f t="shared" si="30"/>
        <v>49</v>
      </c>
      <c r="E138" t="s">
        <v>14</v>
      </c>
      <c r="F138">
        <v>0</v>
      </c>
      <c r="G138" t="s">
        <v>14</v>
      </c>
    </row>
    <row r="139" spans="1:7" x14ac:dyDescent="0.25">
      <c r="A139" s="5" t="s">
        <v>584</v>
      </c>
      <c r="B139" t="s">
        <v>127</v>
      </c>
      <c r="C139" t="s">
        <v>234</v>
      </c>
      <c r="D139" s="2">
        <f t="shared" si="30"/>
        <v>37</v>
      </c>
      <c r="E139" t="s">
        <v>14</v>
      </c>
      <c r="F139">
        <v>0</v>
      </c>
      <c r="G139" t="s">
        <v>14</v>
      </c>
    </row>
    <row r="140" spans="1:7" x14ac:dyDescent="0.25">
      <c r="A140" s="5" t="s">
        <v>585</v>
      </c>
      <c r="B140" t="s">
        <v>127</v>
      </c>
      <c r="C140" t="s">
        <v>247</v>
      </c>
      <c r="D140" s="2">
        <f t="shared" si="30"/>
        <v>28</v>
      </c>
      <c r="E140" t="s">
        <v>14</v>
      </c>
      <c r="F140">
        <v>0</v>
      </c>
      <c r="G140" t="s">
        <v>14</v>
      </c>
    </row>
    <row r="141" spans="1:7" x14ac:dyDescent="0.25">
      <c r="A141" s="5" t="s">
        <v>586</v>
      </c>
      <c r="B141" t="s">
        <v>127</v>
      </c>
      <c r="C141" t="s">
        <v>248</v>
      </c>
      <c r="D141" s="2">
        <f t="shared" si="30"/>
        <v>48</v>
      </c>
      <c r="E141" t="s">
        <v>14</v>
      </c>
      <c r="F141">
        <v>0</v>
      </c>
      <c r="G141" t="s">
        <v>14</v>
      </c>
    </row>
    <row r="142" spans="1:7" x14ac:dyDescent="0.25">
      <c r="A142" s="5" t="s">
        <v>587</v>
      </c>
      <c r="B142" t="s">
        <v>127</v>
      </c>
      <c r="C142" t="s">
        <v>249</v>
      </c>
      <c r="D142" s="2">
        <f t="shared" si="30"/>
        <v>42</v>
      </c>
      <c r="E142" t="s">
        <v>14</v>
      </c>
      <c r="F142">
        <v>0</v>
      </c>
      <c r="G142" t="s">
        <v>14</v>
      </c>
    </row>
    <row r="143" spans="1:7" x14ac:dyDescent="0.25">
      <c r="A143" s="5" t="s">
        <v>588</v>
      </c>
      <c r="B143" t="s">
        <v>127</v>
      </c>
      <c r="C143" t="s">
        <v>250</v>
      </c>
      <c r="D143" s="2">
        <f t="shared" si="30"/>
        <v>45</v>
      </c>
      <c r="E143" t="s">
        <v>14</v>
      </c>
      <c r="F143">
        <v>0</v>
      </c>
      <c r="G143" t="s">
        <v>14</v>
      </c>
    </row>
    <row r="144" spans="1:7" x14ac:dyDescent="0.25">
      <c r="A144" s="5" t="s">
        <v>589</v>
      </c>
      <c r="B144" t="s">
        <v>127</v>
      </c>
      <c r="C144" t="s">
        <v>251</v>
      </c>
      <c r="D144" s="2">
        <f t="shared" si="30"/>
        <v>38</v>
      </c>
      <c r="E144" t="s">
        <v>14</v>
      </c>
      <c r="F144">
        <v>0</v>
      </c>
      <c r="G144" t="s">
        <v>14</v>
      </c>
    </row>
    <row r="145" spans="1:8" x14ac:dyDescent="0.25">
      <c r="A145" s="5" t="s">
        <v>623</v>
      </c>
      <c r="B145" t="s">
        <v>127</v>
      </c>
      <c r="C145" t="s">
        <v>252</v>
      </c>
      <c r="D145" s="2">
        <f t="shared" si="30"/>
        <v>39</v>
      </c>
      <c r="E145" t="s">
        <v>14</v>
      </c>
      <c r="F145">
        <v>0</v>
      </c>
      <c r="G145" t="s">
        <v>14</v>
      </c>
    </row>
    <row r="146" spans="1:8" x14ac:dyDescent="0.25">
      <c r="A146" s="5" t="s">
        <v>624</v>
      </c>
      <c r="B146" t="s">
        <v>127</v>
      </c>
      <c r="C146" t="s">
        <v>253</v>
      </c>
      <c r="D146" s="2">
        <f t="shared" si="30"/>
        <v>34</v>
      </c>
      <c r="E146" t="s">
        <v>14</v>
      </c>
      <c r="F146">
        <v>0</v>
      </c>
      <c r="G146" t="s">
        <v>14</v>
      </c>
    </row>
    <row r="147" spans="1:8" x14ac:dyDescent="0.25">
      <c r="A147" s="5" t="s">
        <v>625</v>
      </c>
      <c r="B147" t="s">
        <v>127</v>
      </c>
      <c r="C147" t="s">
        <v>254</v>
      </c>
      <c r="D147" s="2">
        <f t="shared" si="30"/>
        <v>44</v>
      </c>
      <c r="E147" t="s">
        <v>14</v>
      </c>
      <c r="F147">
        <v>0</v>
      </c>
      <c r="G147" t="s">
        <v>14</v>
      </c>
    </row>
    <row r="148" spans="1:8" x14ac:dyDescent="0.25">
      <c r="A148" s="5" t="s">
        <v>626</v>
      </c>
      <c r="B148" t="s">
        <v>127</v>
      </c>
      <c r="C148" t="s">
        <v>255</v>
      </c>
      <c r="D148" s="2">
        <f t="shared" si="30"/>
        <v>43</v>
      </c>
      <c r="E148" t="s">
        <v>14</v>
      </c>
      <c r="F148">
        <v>0</v>
      </c>
      <c r="G148" t="s">
        <v>14</v>
      </c>
    </row>
    <row r="149" spans="1:8" x14ac:dyDescent="0.25">
      <c r="A149" s="5" t="s">
        <v>622</v>
      </c>
      <c r="B149" t="s">
        <v>127</v>
      </c>
      <c r="C149" t="s">
        <v>256</v>
      </c>
      <c r="D149" s="2">
        <f t="shared" si="30"/>
        <v>41</v>
      </c>
      <c r="E149" t="s">
        <v>14</v>
      </c>
      <c r="F149">
        <v>0</v>
      </c>
      <c r="G149" t="s">
        <v>14</v>
      </c>
    </row>
    <row r="150" spans="1:8" x14ac:dyDescent="0.25">
      <c r="A150" s="5" t="s">
        <v>591</v>
      </c>
      <c r="B150" t="s">
        <v>127</v>
      </c>
      <c r="C150" t="s">
        <v>257</v>
      </c>
      <c r="D150" s="2">
        <f t="shared" si="30"/>
        <v>39</v>
      </c>
      <c r="E150" t="s">
        <v>14</v>
      </c>
      <c r="F150">
        <v>0</v>
      </c>
      <c r="G150" t="s">
        <v>14</v>
      </c>
    </row>
    <row r="151" spans="1:8" x14ac:dyDescent="0.25">
      <c r="A151" t="s">
        <v>559</v>
      </c>
      <c r="B151" t="s">
        <v>16</v>
      </c>
      <c r="C151" t="s">
        <v>17</v>
      </c>
      <c r="D151" s="2">
        <f t="shared" si="30"/>
        <v>7</v>
      </c>
      <c r="E151" t="s">
        <v>18</v>
      </c>
      <c r="F151" t="s">
        <v>19</v>
      </c>
      <c r="G151" t="s">
        <v>40</v>
      </c>
      <c r="H151" t="s">
        <v>53</v>
      </c>
    </row>
    <row r="152" spans="1:8" x14ac:dyDescent="0.25">
      <c r="A152" t="s">
        <v>258</v>
      </c>
      <c r="B152" t="s">
        <v>127</v>
      </c>
      <c r="C152" t="s">
        <v>259</v>
      </c>
      <c r="D152" s="2">
        <f t="shared" si="30"/>
        <v>36</v>
      </c>
      <c r="E152" t="s">
        <v>14</v>
      </c>
      <c r="F152">
        <v>0</v>
      </c>
      <c r="G152" t="s">
        <v>14</v>
      </c>
    </row>
    <row r="153" spans="1:8" x14ac:dyDescent="0.25">
      <c r="A153" t="s">
        <v>165</v>
      </c>
      <c r="B153" t="s">
        <v>16</v>
      </c>
      <c r="C153" t="s">
        <v>17</v>
      </c>
      <c r="D153" s="2">
        <f t="shared" si="30"/>
        <v>7</v>
      </c>
      <c r="E153" t="s">
        <v>53</v>
      </c>
    </row>
    <row r="154" spans="1:8" x14ac:dyDescent="0.25">
      <c r="A154" t="s">
        <v>590</v>
      </c>
      <c r="B154" t="s">
        <v>127</v>
      </c>
      <c r="C154" t="s">
        <v>260</v>
      </c>
      <c r="D154" s="2">
        <f t="shared" si="30"/>
        <v>21</v>
      </c>
    </row>
  </sheetData>
  <conditionalFormatting sqref="D68:D69 D78:D79 D29:D35 D13 D16:D26 D61:D63 D6 D8:D10 D37 D81:D84 D86:D154 D65">
    <cfRule type="cellIs" dxfId="136" priority="106" operator="greaterThan">
      <formula>49</formula>
    </cfRule>
  </conditionalFormatting>
  <conditionalFormatting sqref="D12">
    <cfRule type="cellIs" dxfId="135" priority="102" operator="greaterThan">
      <formula>49</formula>
    </cfRule>
  </conditionalFormatting>
  <conditionalFormatting sqref="D3:D5">
    <cfRule type="cellIs" dxfId="134" priority="101" operator="greaterThan">
      <formula>49</formula>
    </cfRule>
  </conditionalFormatting>
  <conditionalFormatting sqref="D70">
    <cfRule type="cellIs" dxfId="133" priority="96" operator="greaterThan">
      <formula>49</formula>
    </cfRule>
  </conditionalFormatting>
  <conditionalFormatting sqref="D27">
    <cfRule type="cellIs" dxfId="132" priority="92" operator="greaterThan">
      <formula>49</formula>
    </cfRule>
  </conditionalFormatting>
  <conditionalFormatting sqref="D71">
    <cfRule type="cellIs" dxfId="131" priority="94" operator="greaterThan">
      <formula>49</formula>
    </cfRule>
  </conditionalFormatting>
  <conditionalFormatting sqref="D28">
    <cfRule type="cellIs" dxfId="130" priority="91" operator="greaterThan">
      <formula>49</formula>
    </cfRule>
  </conditionalFormatting>
  <conditionalFormatting sqref="D11">
    <cfRule type="cellIs" dxfId="129" priority="90" operator="greaterThan">
      <formula>49</formula>
    </cfRule>
  </conditionalFormatting>
  <conditionalFormatting sqref="D14">
    <cfRule type="cellIs" dxfId="128" priority="86" operator="greaterThan">
      <formula>49</formula>
    </cfRule>
  </conditionalFormatting>
  <conditionalFormatting sqref="D42">
    <cfRule type="cellIs" dxfId="127" priority="73" operator="greaterThan">
      <formula>49</formula>
    </cfRule>
  </conditionalFormatting>
  <conditionalFormatting sqref="D15">
    <cfRule type="cellIs" dxfId="126" priority="82" operator="greaterThan">
      <formula>49</formula>
    </cfRule>
  </conditionalFormatting>
  <conditionalFormatting sqref="D36">
    <cfRule type="cellIs" dxfId="125" priority="78" operator="greaterThan">
      <formula>49</formula>
    </cfRule>
  </conditionalFormatting>
  <conditionalFormatting sqref="D38">
    <cfRule type="cellIs" dxfId="124" priority="77" operator="greaterThan">
      <formula>49</formula>
    </cfRule>
  </conditionalFormatting>
  <conditionalFormatting sqref="D39">
    <cfRule type="cellIs" dxfId="123" priority="76" operator="greaterThan">
      <formula>49</formula>
    </cfRule>
  </conditionalFormatting>
  <conditionalFormatting sqref="D40">
    <cfRule type="cellIs" dxfId="122" priority="75" operator="greaterThan">
      <formula>49</formula>
    </cfRule>
  </conditionalFormatting>
  <conditionalFormatting sqref="D41">
    <cfRule type="cellIs" dxfId="121" priority="74" operator="greaterThan">
      <formula>49</formula>
    </cfRule>
  </conditionalFormatting>
  <conditionalFormatting sqref="D43">
    <cfRule type="cellIs" dxfId="120" priority="72" operator="greaterThan">
      <formula>49</formula>
    </cfRule>
  </conditionalFormatting>
  <conditionalFormatting sqref="D44">
    <cfRule type="cellIs" dxfId="119" priority="71" operator="greaterThan">
      <formula>49</formula>
    </cfRule>
  </conditionalFormatting>
  <conditionalFormatting sqref="D66:D67">
    <cfRule type="cellIs" dxfId="118" priority="70" operator="greaterThan">
      <formula>49</formula>
    </cfRule>
  </conditionalFormatting>
  <conditionalFormatting sqref="D80">
    <cfRule type="cellIs" dxfId="117" priority="69" operator="greaterThan">
      <formula>49</formula>
    </cfRule>
  </conditionalFormatting>
  <conditionalFormatting sqref="D72">
    <cfRule type="cellIs" dxfId="116" priority="68" operator="greaterThan">
      <formula>49</formula>
    </cfRule>
  </conditionalFormatting>
  <conditionalFormatting sqref="D73">
    <cfRule type="cellIs" dxfId="115" priority="67" operator="greaterThan">
      <formula>49</formula>
    </cfRule>
  </conditionalFormatting>
  <conditionalFormatting sqref="D74">
    <cfRule type="cellIs" dxfId="114" priority="66" operator="greaterThan">
      <formula>49</formula>
    </cfRule>
  </conditionalFormatting>
  <conditionalFormatting sqref="D75">
    <cfRule type="cellIs" dxfId="113" priority="65" operator="greaterThan">
      <formula>49</formula>
    </cfRule>
  </conditionalFormatting>
  <conditionalFormatting sqref="D76:D77">
    <cfRule type="cellIs" dxfId="112" priority="64" operator="greaterThan">
      <formula>49</formula>
    </cfRule>
  </conditionalFormatting>
  <conditionalFormatting sqref="D47">
    <cfRule type="cellIs" dxfId="111" priority="39" operator="greaterThan">
      <formula>49</formula>
    </cfRule>
  </conditionalFormatting>
  <conditionalFormatting sqref="D46">
    <cfRule type="cellIs" dxfId="110" priority="38" operator="greaterThan">
      <formula>49</formula>
    </cfRule>
  </conditionalFormatting>
  <conditionalFormatting sqref="D45">
    <cfRule type="cellIs" dxfId="109" priority="37" operator="greaterThan">
      <formula>49</formula>
    </cfRule>
  </conditionalFormatting>
  <conditionalFormatting sqref="D48">
    <cfRule type="cellIs" dxfId="108" priority="33" operator="greaterThan">
      <formula>49</formula>
    </cfRule>
  </conditionalFormatting>
  <conditionalFormatting sqref="D49">
    <cfRule type="cellIs" dxfId="107" priority="29" operator="greaterThan">
      <formula>49</formula>
    </cfRule>
  </conditionalFormatting>
  <conditionalFormatting sqref="D52">
    <cfRule type="cellIs" dxfId="106" priority="26" operator="greaterThan">
      <formula>49</formula>
    </cfRule>
  </conditionalFormatting>
  <conditionalFormatting sqref="D51">
    <cfRule type="cellIs" dxfId="105" priority="25" operator="greaterThan">
      <formula>49</formula>
    </cfRule>
  </conditionalFormatting>
  <conditionalFormatting sqref="D50">
    <cfRule type="cellIs" dxfId="104" priority="24" operator="greaterThan">
      <formula>49</formula>
    </cfRule>
  </conditionalFormatting>
  <conditionalFormatting sqref="D53">
    <cfRule type="cellIs" dxfId="103" priority="20" operator="greaterThan">
      <formula>49</formula>
    </cfRule>
  </conditionalFormatting>
  <conditionalFormatting sqref="D54">
    <cfRule type="cellIs" dxfId="102" priority="16" operator="greaterThan">
      <formula>49</formula>
    </cfRule>
  </conditionalFormatting>
  <conditionalFormatting sqref="D57">
    <cfRule type="cellIs" dxfId="101" priority="13" operator="greaterThan">
      <formula>49</formula>
    </cfRule>
  </conditionalFormatting>
  <conditionalFormatting sqref="D56">
    <cfRule type="cellIs" dxfId="100" priority="12" operator="greaterThan">
      <formula>49</formula>
    </cfRule>
  </conditionalFormatting>
  <conditionalFormatting sqref="D55">
    <cfRule type="cellIs" dxfId="99" priority="11" operator="greaterThan">
      <formula>49</formula>
    </cfRule>
  </conditionalFormatting>
  <conditionalFormatting sqref="D58">
    <cfRule type="cellIs" dxfId="98" priority="7" operator="greaterThan">
      <formula>49</formula>
    </cfRule>
  </conditionalFormatting>
  <conditionalFormatting sqref="D59">
    <cfRule type="cellIs" dxfId="97" priority="3" operator="greaterThan">
      <formula>49</formula>
    </cfRule>
  </conditionalFormatting>
  <conditionalFormatting sqref="D64">
    <cfRule type="cellIs" dxfId="96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  <ignoredErrors>
    <ignoredError sqref="M7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1"/>
  <sheetViews>
    <sheetView tabSelected="1" zoomScaleNormal="100" workbookViewId="0">
      <selection activeCell="B3" sqref="B3"/>
    </sheetView>
  </sheetViews>
  <sheetFormatPr defaultRowHeight="15" x14ac:dyDescent="0.25"/>
  <cols>
    <col min="1" max="1" width="21.28515625" bestFit="1" customWidth="1"/>
    <col min="2" max="2" width="20.28515625" customWidth="1"/>
    <col min="3" max="3" width="35.5703125" bestFit="1" customWidth="1"/>
    <col min="4" max="4" width="17.7109375" style="2" bestFit="1" customWidth="1"/>
    <col min="5" max="5" width="11.42578125" bestFit="1" customWidth="1"/>
    <col min="6" max="6" width="17.7109375" bestFit="1" customWidth="1"/>
    <col min="7" max="7" width="20.5703125" customWidth="1"/>
    <col min="8" max="8" width="14.28515625" bestFit="1" customWidth="1"/>
    <col min="9" max="9" width="23.28515625" bestFit="1" customWidth="1"/>
    <col min="10" max="10" width="18.7109375" bestFit="1" customWidth="1"/>
    <col min="11" max="12" width="18.28515625" bestFit="1" customWidth="1"/>
    <col min="13" max="13" width="14.7109375" bestFit="1" customWidth="1"/>
    <col min="14" max="14" width="15.7109375" bestFit="1" customWidth="1"/>
    <col min="15" max="15" width="16.7109375" bestFit="1" customWidth="1"/>
    <col min="16" max="16" width="15.42578125" bestFit="1" customWidth="1"/>
    <col min="17" max="17" width="37.28515625" bestFit="1" customWidth="1"/>
    <col min="18" max="18" width="16.28515625" bestFit="1" customWidth="1"/>
    <col min="19" max="19" width="35.57031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28515625" bestFit="1" customWidth="1"/>
    <col min="43" max="43" width="10.28515625" bestFit="1" customWidth="1"/>
    <col min="44" max="44" width="11.28515625" bestFit="1" customWidth="1"/>
    <col min="45" max="45" width="15.42578125" bestFit="1" customWidth="1"/>
    <col min="46" max="46" width="30.42578125" bestFit="1" customWidth="1"/>
    <col min="47" max="47" width="8.7109375" bestFit="1" customWidth="1"/>
    <col min="48" max="48" width="28.710937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28515625" bestFit="1" customWidth="1"/>
    <col min="54" max="55" width="18.28515625" bestFit="1" customWidth="1"/>
    <col min="56" max="56" width="14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 s="1" t="s">
        <v>1</v>
      </c>
    </row>
    <row r="2" spans="1:23" x14ac:dyDescent="0.25">
      <c r="A2" t="s">
        <v>2</v>
      </c>
      <c r="B2" t="s">
        <v>3</v>
      </c>
      <c r="C2" t="s">
        <v>4</v>
      </c>
      <c r="D2" s="2">
        <f t="shared" ref="D2:D4" si="0">LEN(C2)</f>
        <v>5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414</v>
      </c>
      <c r="L2" t="s">
        <v>415</v>
      </c>
      <c r="M2" t="s">
        <v>11</v>
      </c>
      <c r="N2" t="s">
        <v>12</v>
      </c>
      <c r="O2" t="s">
        <v>416</v>
      </c>
    </row>
    <row r="3" spans="1:23" x14ac:dyDescent="0.25">
      <c r="A3" s="3" t="s">
        <v>418</v>
      </c>
      <c r="B3" s="5" t="s">
        <v>113</v>
      </c>
      <c r="C3" s="3" t="str">
        <f>A3</f>
        <v>BXX</v>
      </c>
      <c r="D3" s="2">
        <f t="shared" si="0"/>
        <v>3</v>
      </c>
      <c r="E3" t="s">
        <v>13</v>
      </c>
      <c r="F3" t="s">
        <v>14</v>
      </c>
      <c r="G3" t="s">
        <v>114</v>
      </c>
      <c r="H3" s="4" t="str">
        <f>C3</f>
        <v>BXX</v>
      </c>
      <c r="I3" t="s">
        <v>13</v>
      </c>
      <c r="J3" t="s">
        <v>14</v>
      </c>
      <c r="L3">
        <v>0</v>
      </c>
      <c r="M3" t="s">
        <v>13</v>
      </c>
      <c r="N3" t="s">
        <v>13</v>
      </c>
      <c r="O3">
        <v>5</v>
      </c>
    </row>
    <row r="4" spans="1:23" x14ac:dyDescent="0.25">
      <c r="A4" t="s">
        <v>15</v>
      </c>
      <c r="B4" t="s">
        <v>16</v>
      </c>
      <c r="C4" t="s">
        <v>17</v>
      </c>
      <c r="D4" s="2">
        <f t="shared" si="0"/>
        <v>7</v>
      </c>
      <c r="E4" t="s">
        <v>18</v>
      </c>
      <c r="F4" t="s">
        <v>19</v>
      </c>
      <c r="G4" t="s">
        <v>20</v>
      </c>
      <c r="H4" t="s">
        <v>21</v>
      </c>
      <c r="I4" t="s">
        <v>22</v>
      </c>
      <c r="J4" t="s">
        <v>23</v>
      </c>
      <c r="K4" t="s">
        <v>24</v>
      </c>
      <c r="L4" t="s">
        <v>25</v>
      </c>
      <c r="M4" t="s">
        <v>26</v>
      </c>
      <c r="N4" t="s">
        <v>27</v>
      </c>
      <c r="O4" t="s">
        <v>28</v>
      </c>
      <c r="P4" t="s">
        <v>29</v>
      </c>
      <c r="Q4" t="s">
        <v>30</v>
      </c>
      <c r="R4" t="s">
        <v>31</v>
      </c>
      <c r="S4" t="s">
        <v>32</v>
      </c>
      <c r="T4" t="s">
        <v>33</v>
      </c>
      <c r="U4" t="s">
        <v>34</v>
      </c>
      <c r="V4" t="s">
        <v>35</v>
      </c>
    </row>
    <row r="5" spans="1:23" x14ac:dyDescent="0.25">
      <c r="A5" s="3" t="s">
        <v>418</v>
      </c>
      <c r="B5" s="3" t="s">
        <v>36</v>
      </c>
      <c r="C5" s="3" t="s">
        <v>115</v>
      </c>
      <c r="D5" s="2">
        <f>LEN(C5)</f>
        <v>11</v>
      </c>
      <c r="E5" t="s">
        <v>13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s="3" t="s">
        <v>419</v>
      </c>
      <c r="B6" s="4" t="str">
        <f>A5</f>
        <v>BXX</v>
      </c>
      <c r="C6" s="3" t="s">
        <v>37</v>
      </c>
      <c r="D6" s="2">
        <f>LEN(C6)</f>
        <v>21</v>
      </c>
      <c r="E6" t="s">
        <v>13</v>
      </c>
      <c r="F6">
        <v>999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23" x14ac:dyDescent="0.25">
      <c r="A7" s="3" t="s">
        <v>117</v>
      </c>
      <c r="B7" s="5" t="s">
        <v>118</v>
      </c>
      <c r="C7" s="3" t="s">
        <v>388</v>
      </c>
      <c r="D7" s="2">
        <f>LEN(C7)</f>
        <v>19</v>
      </c>
      <c r="E7" t="s">
        <v>13</v>
      </c>
      <c r="F7">
        <v>999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23" x14ac:dyDescent="0.25">
      <c r="A8" t="s">
        <v>603</v>
      </c>
      <c r="B8" t="s">
        <v>16</v>
      </c>
      <c r="C8" t="s">
        <v>17</v>
      </c>
      <c r="E8" t="s">
        <v>39</v>
      </c>
      <c r="F8" t="s">
        <v>18</v>
      </c>
      <c r="G8" t="s">
        <v>19</v>
      </c>
      <c r="H8" t="s">
        <v>40</v>
      </c>
      <c r="I8" t="s">
        <v>41</v>
      </c>
      <c r="J8" t="s">
        <v>42</v>
      </c>
      <c r="K8" t="s">
        <v>43</v>
      </c>
      <c r="L8" t="s">
        <v>44</v>
      </c>
      <c r="M8" t="s">
        <v>45</v>
      </c>
      <c r="N8" t="s">
        <v>46</v>
      </c>
      <c r="O8" t="s">
        <v>47</v>
      </c>
      <c r="P8" t="s">
        <v>48</v>
      </c>
      <c r="Q8" t="s">
        <v>49</v>
      </c>
      <c r="R8" t="s">
        <v>50</v>
      </c>
      <c r="S8" t="s">
        <v>51</v>
      </c>
      <c r="T8" t="s">
        <v>52</v>
      </c>
      <c r="U8" t="s">
        <v>27</v>
      </c>
      <c r="V8" t="s">
        <v>35</v>
      </c>
      <c r="W8" t="s">
        <v>53</v>
      </c>
    </row>
    <row r="9" spans="1:23" x14ac:dyDescent="0.25">
      <c r="A9" s="4" t="str">
        <f>$A$6&amp;"_KS1_DI_PM"</f>
        <v>BXX_PLC1_KS1_DI_PM</v>
      </c>
      <c r="B9" s="4" t="str">
        <f>$A$6</f>
        <v>BXX_PLC1</v>
      </c>
      <c r="C9" s="4" t="str">
        <f>$A$5&amp; " Key Program Mode Status"</f>
        <v>BXX Key Program Mode Status</v>
      </c>
      <c r="D9" s="2">
        <f>LEN(C9)</f>
        <v>27</v>
      </c>
      <c r="E9" s="5" t="s">
        <v>14</v>
      </c>
      <c r="F9" s="5" t="s">
        <v>13</v>
      </c>
      <c r="G9" s="5">
        <v>700</v>
      </c>
      <c r="H9" s="5" t="s">
        <v>13</v>
      </c>
      <c r="I9" s="5" t="s">
        <v>54</v>
      </c>
      <c r="J9" s="5" t="s">
        <v>54</v>
      </c>
      <c r="K9" s="5" t="s">
        <v>55</v>
      </c>
      <c r="L9" s="5" t="s">
        <v>56</v>
      </c>
      <c r="M9" s="5">
        <v>1</v>
      </c>
      <c r="N9" s="5" t="s">
        <v>57</v>
      </c>
      <c r="O9" s="5" t="s">
        <v>630</v>
      </c>
      <c r="P9" s="5" t="s">
        <v>14</v>
      </c>
      <c r="Q9" s="4" t="str">
        <f>$A$6&amp;".KEY_PROGRAM"</f>
        <v>BXX_PLC1.KEY_PROGRAM</v>
      </c>
      <c r="R9" s="5" t="s">
        <v>14</v>
      </c>
      <c r="S9" s="4" t="str">
        <f>C9</f>
        <v>BXX Key Program Mode Status</v>
      </c>
      <c r="T9" s="5">
        <v>0</v>
      </c>
      <c r="U9" s="5">
        <v>0</v>
      </c>
    </row>
    <row r="10" spans="1:23" x14ac:dyDescent="0.25">
      <c r="A10" s="4" t="str">
        <f>$A$6&amp;"_KS1_DI_RM"</f>
        <v>BXX_PLC1_KS1_DI_RM</v>
      </c>
      <c r="B10" s="4" t="str">
        <f t="shared" ref="B10:B25" si="1">$A$6</f>
        <v>BXX_PLC1</v>
      </c>
      <c r="C10" s="4" t="str">
        <f>$A$5&amp; " Key Run Mode Status"</f>
        <v>BXX Key Run Mode Status</v>
      </c>
      <c r="D10" s="2">
        <f t="shared" ref="D10:D39" si="2">LEN(C10)</f>
        <v>23</v>
      </c>
      <c r="E10" s="5" t="s">
        <v>14</v>
      </c>
      <c r="F10" s="5" t="s">
        <v>13</v>
      </c>
      <c r="G10" s="5">
        <v>700</v>
      </c>
      <c r="H10" s="5" t="s">
        <v>13</v>
      </c>
      <c r="I10" s="5" t="s">
        <v>54</v>
      </c>
      <c r="J10" s="5" t="s">
        <v>54</v>
      </c>
      <c r="K10" s="5" t="s">
        <v>58</v>
      </c>
      <c r="L10" s="5" t="s">
        <v>56</v>
      </c>
      <c r="M10" s="5">
        <v>1</v>
      </c>
      <c r="N10" s="5" t="s">
        <v>57</v>
      </c>
      <c r="O10" s="5" t="s">
        <v>630</v>
      </c>
      <c r="P10" s="5" t="s">
        <v>14</v>
      </c>
      <c r="Q10" s="4" t="str">
        <f>$A$6&amp;".KEY_RUN"</f>
        <v>BXX_PLC1.KEY_RUN</v>
      </c>
      <c r="R10" s="5" t="s">
        <v>14</v>
      </c>
      <c r="S10" s="4" t="str">
        <f t="shared" ref="S10:S25" si="3">C10</f>
        <v>BXX Key Run Mode Status</v>
      </c>
      <c r="T10" s="5">
        <v>0</v>
      </c>
      <c r="U10" s="5">
        <v>0</v>
      </c>
    </row>
    <row r="11" spans="1:23" x14ac:dyDescent="0.25">
      <c r="A11" s="4" t="str">
        <f>$A$6&amp;"_F91_DA_EN"</f>
        <v>BXX_PLC1_F91_DA_EN</v>
      </c>
      <c r="B11" s="4" t="str">
        <f t="shared" si="1"/>
        <v>BXX_PLC1</v>
      </c>
      <c r="C11" s="4" t="str">
        <f>$A$5&amp; " Forces Enabled"</f>
        <v>BXX Forces Enabled</v>
      </c>
      <c r="D11" s="2">
        <f t="shared" si="2"/>
        <v>18</v>
      </c>
      <c r="E11" s="5" t="s">
        <v>14</v>
      </c>
      <c r="F11" s="5" t="s">
        <v>13</v>
      </c>
      <c r="G11" s="5">
        <v>700</v>
      </c>
      <c r="H11" s="5" t="s">
        <v>13</v>
      </c>
      <c r="I11" s="5" t="s">
        <v>54</v>
      </c>
      <c r="J11" s="5" t="s">
        <v>59</v>
      </c>
      <c r="K11" s="5" t="s">
        <v>60</v>
      </c>
      <c r="L11" s="5" t="s">
        <v>61</v>
      </c>
      <c r="M11" s="3">
        <v>10</v>
      </c>
      <c r="N11" s="5" t="s">
        <v>57</v>
      </c>
      <c r="O11" s="5" t="s">
        <v>630</v>
      </c>
      <c r="P11" s="5" t="s">
        <v>14</v>
      </c>
      <c r="Q11" s="4" t="str">
        <f>$A$6&amp;".FORCES_ENABLED"</f>
        <v>BXX_PLC1.FORCES_ENABLED</v>
      </c>
      <c r="R11" s="5" t="s">
        <v>14</v>
      </c>
      <c r="S11" s="4" t="str">
        <f t="shared" si="3"/>
        <v>BXX Forces Enabled</v>
      </c>
      <c r="T11" s="5">
        <v>0</v>
      </c>
      <c r="U11" s="5">
        <v>0</v>
      </c>
    </row>
    <row r="12" spans="1:23" x14ac:dyDescent="0.25">
      <c r="A12" s="4" t="str">
        <f>$A$6&amp;"_F61_DA_SS"</f>
        <v>BXX_PLC1_F61_DA_SS</v>
      </c>
      <c r="B12" s="4" t="str">
        <f t="shared" si="1"/>
        <v>BXX_PLC1</v>
      </c>
      <c r="C12" s="4" t="str">
        <f>$A$5&amp; " Minor Fault IO Alarm"</f>
        <v>BXX Minor Fault IO Alarm</v>
      </c>
      <c r="D12" s="2">
        <f t="shared" si="2"/>
        <v>24</v>
      </c>
      <c r="E12" s="5" t="s">
        <v>14</v>
      </c>
      <c r="F12" s="5" t="s">
        <v>14</v>
      </c>
      <c r="G12" s="5">
        <v>0</v>
      </c>
      <c r="H12" s="5" t="s">
        <v>13</v>
      </c>
      <c r="I12" s="5" t="s">
        <v>54</v>
      </c>
      <c r="J12" s="5" t="s">
        <v>62</v>
      </c>
      <c r="K12" s="5" t="s">
        <v>63</v>
      </c>
      <c r="L12" s="5" t="s">
        <v>61</v>
      </c>
      <c r="M12" s="3">
        <v>10</v>
      </c>
      <c r="N12" s="5" t="s">
        <v>57</v>
      </c>
      <c r="O12" s="5" t="s">
        <v>630</v>
      </c>
      <c r="P12" s="5" t="s">
        <v>14</v>
      </c>
      <c r="Q12" s="4" t="str">
        <f>$A$6&amp;".MINORFAULT_IO"</f>
        <v>BXX_PLC1.MINORFAULT_IO</v>
      </c>
      <c r="R12" s="5" t="s">
        <v>14</v>
      </c>
      <c r="S12" s="4" t="str">
        <f t="shared" si="3"/>
        <v>BXX Minor Fault IO Alarm</v>
      </c>
      <c r="T12" s="5">
        <v>2</v>
      </c>
      <c r="U12" s="5">
        <v>0</v>
      </c>
    </row>
    <row r="13" spans="1:23" x14ac:dyDescent="0.25">
      <c r="A13" s="4" t="str">
        <f>$A$6&amp;"_F71_DA_SS"</f>
        <v>BXX_PLC1_F71_DA_SS</v>
      </c>
      <c r="B13" s="4" t="str">
        <f t="shared" si="1"/>
        <v>BXX_PLC1</v>
      </c>
      <c r="C13" s="4" t="str">
        <f>$A$5&amp; " Forces Present"</f>
        <v>BXX Forces Present</v>
      </c>
      <c r="D13" s="2">
        <f t="shared" si="2"/>
        <v>18</v>
      </c>
      <c r="E13" s="5" t="s">
        <v>14</v>
      </c>
      <c r="F13" s="5" t="s">
        <v>14</v>
      </c>
      <c r="G13" s="5">
        <v>0</v>
      </c>
      <c r="H13" s="5" t="s">
        <v>13</v>
      </c>
      <c r="I13" s="5" t="s">
        <v>54</v>
      </c>
      <c r="J13" s="5" t="s">
        <v>59</v>
      </c>
      <c r="K13" s="5" t="s">
        <v>64</v>
      </c>
      <c r="L13" s="5" t="s">
        <v>61</v>
      </c>
      <c r="M13" s="3">
        <v>275</v>
      </c>
      <c r="N13" s="5" t="s">
        <v>57</v>
      </c>
      <c r="O13" s="5" t="s">
        <v>630</v>
      </c>
      <c r="P13" s="5" t="s">
        <v>14</v>
      </c>
      <c r="Q13" s="4" t="str">
        <f>$A$6&amp;".FORCES_PRESENT"</f>
        <v>BXX_PLC1.FORCES_PRESENT</v>
      </c>
      <c r="R13" s="5" t="s">
        <v>14</v>
      </c>
      <c r="S13" s="4" t="str">
        <f t="shared" si="3"/>
        <v>BXX Forces Present</v>
      </c>
      <c r="T13" s="5">
        <v>0</v>
      </c>
      <c r="U13" s="5">
        <v>0</v>
      </c>
    </row>
    <row r="14" spans="1:23" x14ac:dyDescent="0.25">
      <c r="A14" s="4" t="str">
        <f>$A$6&amp;"_F31_DA_SS"</f>
        <v>BXX_PLC1_F31_DA_SS</v>
      </c>
      <c r="B14" s="4" t="str">
        <f t="shared" si="1"/>
        <v>BXX_PLC1</v>
      </c>
      <c r="C14" s="4" t="str">
        <f>$A$5&amp; " Major Fault Watchdog Alarm"</f>
        <v>BXX Major Fault Watchdog Alarm</v>
      </c>
      <c r="D14" s="2">
        <f t="shared" si="2"/>
        <v>30</v>
      </c>
      <c r="E14" s="5" t="s">
        <v>14</v>
      </c>
      <c r="F14" s="5" t="s">
        <v>14</v>
      </c>
      <c r="G14" s="5">
        <v>0</v>
      </c>
      <c r="H14" s="5" t="s">
        <v>13</v>
      </c>
      <c r="I14" s="5" t="s">
        <v>54</v>
      </c>
      <c r="J14" s="5" t="s">
        <v>62</v>
      </c>
      <c r="K14" s="5" t="s">
        <v>63</v>
      </c>
      <c r="L14" s="5" t="s">
        <v>61</v>
      </c>
      <c r="M14" s="3">
        <v>10</v>
      </c>
      <c r="N14" s="5" t="s">
        <v>57</v>
      </c>
      <c r="O14" s="5" t="s">
        <v>630</v>
      </c>
      <c r="P14" s="5" t="s">
        <v>14</v>
      </c>
      <c r="Q14" s="4" t="str">
        <f>$A$6&amp;".MAJORFAULT_WATCHDOG"</f>
        <v>BXX_PLC1.MAJORFAULT_WATCHDOG</v>
      </c>
      <c r="R14" s="5" t="s">
        <v>14</v>
      </c>
      <c r="S14" s="4" t="str">
        <f t="shared" si="3"/>
        <v>BXX Major Fault Watchdog Alarm</v>
      </c>
      <c r="T14" s="5">
        <v>2</v>
      </c>
      <c r="U14" s="5">
        <v>0</v>
      </c>
    </row>
    <row r="15" spans="1:23" x14ac:dyDescent="0.25">
      <c r="A15" s="4" t="str">
        <f>$A$6&amp;"_JI1_DA_BT"</f>
        <v>BXX_PLC1_JI1_DA_BT</v>
      </c>
      <c r="B15" s="4" t="str">
        <f t="shared" si="1"/>
        <v>BXX_PLC1</v>
      </c>
      <c r="C15" s="4" t="str">
        <f>$A$5&amp; " Minor Fault Battery Alarm"</f>
        <v>BXX Minor Fault Battery Alarm</v>
      </c>
      <c r="D15" s="2">
        <f t="shared" si="2"/>
        <v>29</v>
      </c>
      <c r="E15" s="5" t="s">
        <v>14</v>
      </c>
      <c r="F15" s="5" t="s">
        <v>14</v>
      </c>
      <c r="G15" s="5">
        <v>0</v>
      </c>
      <c r="H15" s="5" t="s">
        <v>13</v>
      </c>
      <c r="I15" s="5" t="s">
        <v>54</v>
      </c>
      <c r="J15" s="5" t="s">
        <v>62</v>
      </c>
      <c r="K15" s="5" t="s">
        <v>63</v>
      </c>
      <c r="L15" s="5" t="s">
        <v>61</v>
      </c>
      <c r="M15" s="3">
        <v>10</v>
      </c>
      <c r="N15" s="5" t="s">
        <v>57</v>
      </c>
      <c r="O15" s="5" t="s">
        <v>630</v>
      </c>
      <c r="P15" s="5" t="s">
        <v>14</v>
      </c>
      <c r="Q15" s="4" t="str">
        <f>$A$6&amp;".MINORFAULT_BATTERY_LOW"</f>
        <v>BXX_PLC1.MINORFAULT_BATTERY_LOW</v>
      </c>
      <c r="R15" s="5" t="s">
        <v>14</v>
      </c>
      <c r="S15" s="4" t="str">
        <f t="shared" si="3"/>
        <v>BXX Minor Fault Battery Alarm</v>
      </c>
      <c r="T15" s="5">
        <v>2</v>
      </c>
      <c r="U15" s="5">
        <v>0</v>
      </c>
    </row>
    <row r="16" spans="1:23" x14ac:dyDescent="0.25">
      <c r="A16" s="4" t="str">
        <f>$A$6&amp;"_F21_DA_SS"</f>
        <v>BXX_PLC1_F21_DA_SS</v>
      </c>
      <c r="B16" s="4" t="str">
        <f t="shared" si="1"/>
        <v>BXX_PLC1</v>
      </c>
      <c r="C16" s="4" t="str">
        <f>$A$5&amp; " Major Fault Startup Alarm"</f>
        <v>BXX Major Fault Startup Alarm</v>
      </c>
      <c r="D16" s="2">
        <f t="shared" si="2"/>
        <v>29</v>
      </c>
      <c r="E16" s="5" t="s">
        <v>14</v>
      </c>
      <c r="F16" s="5" t="s">
        <v>14</v>
      </c>
      <c r="G16" s="5">
        <v>0</v>
      </c>
      <c r="H16" s="5" t="s">
        <v>13</v>
      </c>
      <c r="I16" s="5" t="s">
        <v>54</v>
      </c>
      <c r="J16" s="5" t="s">
        <v>62</v>
      </c>
      <c r="K16" s="5" t="s">
        <v>63</v>
      </c>
      <c r="L16" s="5" t="s">
        <v>61</v>
      </c>
      <c r="M16" s="3">
        <v>10</v>
      </c>
      <c r="N16" s="5" t="s">
        <v>57</v>
      </c>
      <c r="O16" s="5" t="s">
        <v>630</v>
      </c>
      <c r="P16" s="5" t="s">
        <v>14</v>
      </c>
      <c r="Q16" s="4" t="str">
        <f>$A$6&amp;".MAJORFAULT_STARTUP"</f>
        <v>BXX_PLC1.MAJORFAULT_STARTUP</v>
      </c>
      <c r="R16" s="5" t="s">
        <v>14</v>
      </c>
      <c r="S16" s="4" t="str">
        <f t="shared" si="3"/>
        <v>BXX Major Fault Startup Alarm</v>
      </c>
      <c r="T16" s="5">
        <v>2</v>
      </c>
      <c r="U16" s="5">
        <v>0</v>
      </c>
    </row>
    <row r="17" spans="1:64" x14ac:dyDescent="0.25">
      <c r="A17" s="4" t="str">
        <f>$A$6&amp;"_F81_DI_SS"</f>
        <v>BXX_PLC1_F81_DI_SS</v>
      </c>
      <c r="B17" s="4" t="str">
        <f t="shared" si="1"/>
        <v>BXX_PLC1</v>
      </c>
      <c r="C17" s="4" t="str">
        <f>$A$5&amp; " Minor Faults"</f>
        <v>BXX Minor Faults</v>
      </c>
      <c r="D17" s="2">
        <f t="shared" si="2"/>
        <v>16</v>
      </c>
      <c r="E17" s="5" t="s">
        <v>14</v>
      </c>
      <c r="F17" s="5" t="s">
        <v>13</v>
      </c>
      <c r="G17" s="5">
        <v>700</v>
      </c>
      <c r="H17" s="5" t="s">
        <v>13</v>
      </c>
      <c r="I17" s="5" t="s">
        <v>54</v>
      </c>
      <c r="J17" s="5" t="s">
        <v>62</v>
      </c>
      <c r="K17" s="5" t="s">
        <v>63</v>
      </c>
      <c r="L17" s="5" t="s">
        <v>56</v>
      </c>
      <c r="M17" s="5">
        <v>1</v>
      </c>
      <c r="N17" s="5" t="s">
        <v>57</v>
      </c>
      <c r="O17" s="5" t="s">
        <v>630</v>
      </c>
      <c r="P17" s="5" t="s">
        <v>14</v>
      </c>
      <c r="Q17" s="4" t="str">
        <f>$A$6&amp;".MINORFAULT_PROGRAM"</f>
        <v>BXX_PLC1.MINORFAULT_PROGRAM</v>
      </c>
      <c r="R17" s="5" t="s">
        <v>14</v>
      </c>
      <c r="S17" s="4" t="str">
        <f t="shared" si="3"/>
        <v>BXX Minor Faults</v>
      </c>
      <c r="T17" s="5">
        <v>0</v>
      </c>
      <c r="U17" s="5">
        <v>0</v>
      </c>
    </row>
    <row r="18" spans="1:64" x14ac:dyDescent="0.25">
      <c r="A18" s="4" t="str">
        <f>$A$6&amp;"_CK1_PB_SU"</f>
        <v>BXX_PLC1_CK1_PB_SU</v>
      </c>
      <c r="B18" s="4" t="str">
        <f t="shared" si="1"/>
        <v>BXX_PLC1</v>
      </c>
      <c r="C18" s="4" t="str">
        <f>$A$5&amp; " Set PLC Date/Time"</f>
        <v>BXX Set PLC Date/Time</v>
      </c>
      <c r="D18" s="2">
        <f t="shared" si="2"/>
        <v>21</v>
      </c>
      <c r="E18" s="5" t="s">
        <v>14</v>
      </c>
      <c r="F18" s="5" t="s">
        <v>13</v>
      </c>
      <c r="G18" s="5">
        <v>700</v>
      </c>
      <c r="H18" s="5" t="s">
        <v>13</v>
      </c>
      <c r="I18" s="5" t="s">
        <v>54</v>
      </c>
      <c r="J18" s="5" t="s">
        <v>54</v>
      </c>
      <c r="K18" s="5" t="s">
        <v>61</v>
      </c>
      <c r="L18" s="5" t="s">
        <v>56</v>
      </c>
      <c r="M18" s="5">
        <v>1</v>
      </c>
      <c r="N18" s="5" t="s">
        <v>57</v>
      </c>
      <c r="O18" s="5" t="s">
        <v>630</v>
      </c>
      <c r="P18" s="5" t="s">
        <v>14</v>
      </c>
      <c r="Q18" s="4" t="str">
        <f>$A$6&amp;".DO_SU"</f>
        <v>BXX_PLC1.DO_SU</v>
      </c>
      <c r="R18" s="5" t="s">
        <v>14</v>
      </c>
      <c r="S18" s="4" t="str">
        <f t="shared" si="3"/>
        <v>BXX Set PLC Date/Time</v>
      </c>
      <c r="T18" s="5">
        <v>0</v>
      </c>
      <c r="U18" s="5">
        <v>0</v>
      </c>
    </row>
    <row r="19" spans="1:64" x14ac:dyDescent="0.25">
      <c r="A19" s="4" t="str">
        <f>$A$6&amp;"_001_DI_TM"</f>
        <v>BXX_PLC1_001_DI_TM</v>
      </c>
      <c r="B19" s="4" t="str">
        <f t="shared" si="1"/>
        <v>BXX_PLC1</v>
      </c>
      <c r="C19" s="4" t="str">
        <f>$A$5&amp; " Controller Test Mode Status"</f>
        <v>BXX Controller Test Mode Status</v>
      </c>
      <c r="D19" s="2">
        <f t="shared" si="2"/>
        <v>31</v>
      </c>
      <c r="E19" s="5" t="s">
        <v>14</v>
      </c>
      <c r="F19" s="5" t="s">
        <v>13</v>
      </c>
      <c r="G19" s="5">
        <v>700</v>
      </c>
      <c r="H19" s="5" t="s">
        <v>13</v>
      </c>
      <c r="I19" s="5" t="s">
        <v>54</v>
      </c>
      <c r="J19" s="5" t="s">
        <v>54</v>
      </c>
      <c r="K19" t="s">
        <v>65</v>
      </c>
      <c r="L19" s="5" t="s">
        <v>56</v>
      </c>
      <c r="M19" s="5">
        <v>1</v>
      </c>
      <c r="N19" s="5" t="s">
        <v>57</v>
      </c>
      <c r="O19" s="5" t="s">
        <v>630</v>
      </c>
      <c r="P19" s="5" t="s">
        <v>14</v>
      </c>
      <c r="Q19" s="4" t="str">
        <f>$A$6&amp;".CONTROLLER_TEST"</f>
        <v>BXX_PLC1.CONTROLLER_TEST</v>
      </c>
      <c r="R19" s="5" t="s">
        <v>14</v>
      </c>
      <c r="S19" s="4" t="str">
        <f t="shared" si="3"/>
        <v>BXX Controller Test Mode Status</v>
      </c>
      <c r="T19" s="5">
        <v>0</v>
      </c>
      <c r="U19" s="5">
        <v>0</v>
      </c>
    </row>
    <row r="20" spans="1:64" x14ac:dyDescent="0.25">
      <c r="A20" s="4" t="str">
        <f>$A$6&amp;"_001_DI_RE"</f>
        <v>BXX_PLC1_001_DI_RE</v>
      </c>
      <c r="B20" s="4" t="str">
        <f t="shared" si="1"/>
        <v>BXX_PLC1</v>
      </c>
      <c r="C20" s="4" t="str">
        <f>$A$5&amp; " Run mode status"</f>
        <v>BXX Run mode status</v>
      </c>
      <c r="D20" s="2">
        <f t="shared" si="2"/>
        <v>19</v>
      </c>
      <c r="E20" s="5" t="s">
        <v>14</v>
      </c>
      <c r="F20" s="5" t="s">
        <v>13</v>
      </c>
      <c r="G20" s="5">
        <v>700</v>
      </c>
      <c r="H20" s="5" t="s">
        <v>13</v>
      </c>
      <c r="I20" s="5" t="s">
        <v>54</v>
      </c>
      <c r="J20" s="5" t="s">
        <v>54</v>
      </c>
      <c r="K20" t="s">
        <v>58</v>
      </c>
      <c r="L20" s="5" t="s">
        <v>56</v>
      </c>
      <c r="M20" s="5">
        <v>1</v>
      </c>
      <c r="N20" s="5" t="s">
        <v>57</v>
      </c>
      <c r="O20" s="5" t="s">
        <v>630</v>
      </c>
      <c r="P20" s="5" t="s">
        <v>14</v>
      </c>
      <c r="Q20" s="4" t="str">
        <f>$A$6&amp;".CONTROLLER_RUN"</f>
        <v>BXX_PLC1.CONTROLLER_RUN</v>
      </c>
      <c r="R20" s="5" t="s">
        <v>14</v>
      </c>
      <c r="S20" s="4" t="str">
        <f t="shared" si="3"/>
        <v>BXX Run mode status</v>
      </c>
      <c r="T20" s="5">
        <v>0</v>
      </c>
      <c r="U20" s="5">
        <v>0</v>
      </c>
    </row>
    <row r="21" spans="1:64" x14ac:dyDescent="0.25">
      <c r="A21" s="4" t="str">
        <f>$A$6&amp;"_KS1_DI_RE"</f>
        <v>BXX_PLC1_KS1_DI_RE</v>
      </c>
      <c r="B21" s="4" t="str">
        <f t="shared" si="1"/>
        <v>BXX_PLC1</v>
      </c>
      <c r="C21" s="4" t="str">
        <f>$A$5&amp; " Key Remote Mode Status"</f>
        <v>BXX Key Remote Mode Status</v>
      </c>
      <c r="D21" s="2">
        <f t="shared" si="2"/>
        <v>26</v>
      </c>
      <c r="E21" s="5" t="s">
        <v>14</v>
      </c>
      <c r="F21" s="5" t="s">
        <v>13</v>
      </c>
      <c r="G21" s="5">
        <v>700</v>
      </c>
      <c r="H21" s="5" t="s">
        <v>13</v>
      </c>
      <c r="I21" s="5" t="s">
        <v>54</v>
      </c>
      <c r="J21" s="5" t="s">
        <v>54</v>
      </c>
      <c r="K21" s="5" t="s">
        <v>66</v>
      </c>
      <c r="L21" s="5" t="s">
        <v>56</v>
      </c>
      <c r="M21" s="5">
        <v>1</v>
      </c>
      <c r="N21" s="5" t="s">
        <v>57</v>
      </c>
      <c r="O21" s="5" t="s">
        <v>630</v>
      </c>
      <c r="P21" s="5" t="s">
        <v>14</v>
      </c>
      <c r="Q21" s="4" t="str">
        <f>$A$6&amp;".KEY_REMOTE"</f>
        <v>BXX_PLC1.KEY_REMOTE</v>
      </c>
      <c r="R21" s="5" t="s">
        <v>14</v>
      </c>
      <c r="S21" s="4" t="str">
        <f t="shared" si="3"/>
        <v>BXX Key Remote Mode Status</v>
      </c>
      <c r="T21" s="5">
        <v>0</v>
      </c>
      <c r="U21" s="5">
        <v>0</v>
      </c>
    </row>
    <row r="22" spans="1:64" x14ac:dyDescent="0.25">
      <c r="A22" s="4" t="str">
        <f>$A$6&amp;"_001_DI_CN"</f>
        <v>BXX_PLC1_001_DI_CN</v>
      </c>
      <c r="B22" s="4" t="str">
        <f t="shared" si="1"/>
        <v>BXX_PLC1</v>
      </c>
      <c r="C22" s="4" t="str">
        <f>$A$5&amp;"-HMI Communication Status"</f>
        <v>BXX-HMI Communication Status</v>
      </c>
      <c r="D22" s="2">
        <f t="shared" si="2"/>
        <v>28</v>
      </c>
      <c r="E22" s="5" t="s">
        <v>14</v>
      </c>
      <c r="F22" s="5" t="s">
        <v>14</v>
      </c>
      <c r="G22" s="5">
        <v>0</v>
      </c>
      <c r="H22" s="5" t="s">
        <v>13</v>
      </c>
      <c r="I22" s="5" t="s">
        <v>61</v>
      </c>
      <c r="J22" s="5" t="s">
        <v>67</v>
      </c>
      <c r="K22" s="5" t="s">
        <v>68</v>
      </c>
      <c r="L22" s="5" t="s">
        <v>56</v>
      </c>
      <c r="M22" s="5">
        <v>1</v>
      </c>
      <c r="N22" s="5" t="s">
        <v>57</v>
      </c>
      <c r="O22" s="5" t="s">
        <v>630</v>
      </c>
      <c r="P22" s="5" t="s">
        <v>14</v>
      </c>
      <c r="Q22" s="5" t="s">
        <v>69</v>
      </c>
      <c r="R22" s="5" t="s">
        <v>14</v>
      </c>
      <c r="S22" s="4" t="str">
        <f t="shared" si="3"/>
        <v>BXX-HMI Communication Status</v>
      </c>
      <c r="T22" s="5">
        <v>0</v>
      </c>
      <c r="U22" s="5">
        <v>0</v>
      </c>
    </row>
    <row r="23" spans="1:64" x14ac:dyDescent="0.25">
      <c r="A23" s="4" t="str">
        <f>$A$6&amp;"_001_DA_CN"</f>
        <v>BXX_PLC1_001_DA_CN</v>
      </c>
      <c r="B23" s="4" t="str">
        <f t="shared" si="1"/>
        <v>BXX_PLC1</v>
      </c>
      <c r="C23" s="4" t="str">
        <f>$A$5 &amp; " Polling Status Down"</f>
        <v>BXX Polling Status Down</v>
      </c>
      <c r="D23" s="2">
        <f t="shared" si="2"/>
        <v>23</v>
      </c>
      <c r="E23" s="5" t="s">
        <v>14</v>
      </c>
      <c r="F23" s="5" t="s">
        <v>14</v>
      </c>
      <c r="G23" s="5">
        <v>0</v>
      </c>
      <c r="H23" s="5" t="s">
        <v>13</v>
      </c>
      <c r="I23" s="5" t="s">
        <v>61</v>
      </c>
      <c r="J23" s="5" t="s">
        <v>67</v>
      </c>
      <c r="K23" s="5" t="s">
        <v>68</v>
      </c>
      <c r="L23" s="5" t="s">
        <v>54</v>
      </c>
      <c r="M23" s="3">
        <v>90</v>
      </c>
      <c r="N23" s="5" t="s">
        <v>57</v>
      </c>
      <c r="O23" s="5" t="s">
        <v>630</v>
      </c>
      <c r="P23" s="5" t="s">
        <v>13</v>
      </c>
      <c r="Q23" s="4" t="str">
        <f>A23</f>
        <v>BXX_PLC1_001_DA_CN</v>
      </c>
      <c r="R23" s="5" t="s">
        <v>14</v>
      </c>
      <c r="S23" s="4" t="str">
        <f t="shared" si="3"/>
        <v>BXX Polling Status Down</v>
      </c>
      <c r="T23" s="5">
        <v>0</v>
      </c>
      <c r="U23" s="5">
        <v>0</v>
      </c>
    </row>
    <row r="24" spans="1:64" x14ac:dyDescent="0.25">
      <c r="A24" s="4" t="str">
        <f>$A$6&amp;"_001_DA_FL"</f>
        <v>BXX_PLC1_001_DA_FL</v>
      </c>
      <c r="B24" s="4" t="str">
        <f t="shared" si="1"/>
        <v>BXX_PLC1</v>
      </c>
      <c r="C24" s="4" t="str">
        <f>$A$5 &amp; " Controller Faulted Status"</f>
        <v>BXX Controller Faulted Status</v>
      </c>
      <c r="D24" s="2">
        <f t="shared" si="2"/>
        <v>29</v>
      </c>
      <c r="E24" s="5" t="s">
        <v>14</v>
      </c>
      <c r="F24" s="5" t="s">
        <v>14</v>
      </c>
      <c r="G24" s="5">
        <v>0</v>
      </c>
      <c r="H24" s="5" t="s">
        <v>13</v>
      </c>
      <c r="I24" s="5" t="s">
        <v>54</v>
      </c>
      <c r="J24" s="5" t="s">
        <v>62</v>
      </c>
      <c r="K24" s="5" t="s">
        <v>63</v>
      </c>
      <c r="L24" s="5" t="s">
        <v>61</v>
      </c>
      <c r="M24" s="3">
        <v>1</v>
      </c>
      <c r="N24" s="5" t="s">
        <v>57</v>
      </c>
      <c r="O24" s="5" t="s">
        <v>630</v>
      </c>
      <c r="P24" s="5" t="s">
        <v>14</v>
      </c>
      <c r="Q24" s="4" t="str">
        <f>$A$6&amp;".CONTROLLER_FAULTED"</f>
        <v>BXX_PLC1.CONTROLLER_FAULTED</v>
      </c>
      <c r="R24" s="5" t="s">
        <v>14</v>
      </c>
      <c r="S24" s="4" t="str">
        <f t="shared" si="3"/>
        <v>BXX Controller Faulted Status</v>
      </c>
      <c r="T24" s="5">
        <v>0</v>
      </c>
      <c r="U24" s="5">
        <v>0</v>
      </c>
    </row>
    <row r="25" spans="1:64" x14ac:dyDescent="0.25">
      <c r="A25" s="4" t="str">
        <f>$A$6&amp;"_001_DI_PM"</f>
        <v>BXX_PLC1_001_DI_PM</v>
      </c>
      <c r="B25" s="4" t="str">
        <f t="shared" si="1"/>
        <v>BXX_PLC1</v>
      </c>
      <c r="C25" s="4" t="str">
        <f>$A$5 &amp; " Controller Program Mode Status"</f>
        <v>BXX Controller Program Mode Status</v>
      </c>
      <c r="D25" s="2">
        <f t="shared" si="2"/>
        <v>34</v>
      </c>
      <c r="E25" s="5" t="s">
        <v>14</v>
      </c>
      <c r="F25" s="5" t="s">
        <v>14</v>
      </c>
      <c r="G25" s="5">
        <v>0</v>
      </c>
      <c r="H25" s="5" t="s">
        <v>13</v>
      </c>
      <c r="I25" s="5" t="s">
        <v>54</v>
      </c>
      <c r="J25" s="5" t="s">
        <v>54</v>
      </c>
      <c r="K25" s="5" t="s">
        <v>55</v>
      </c>
      <c r="L25" s="5" t="s">
        <v>61</v>
      </c>
      <c r="M25" s="3">
        <v>1</v>
      </c>
      <c r="N25" s="5" t="s">
        <v>57</v>
      </c>
      <c r="O25" s="5" t="s">
        <v>630</v>
      </c>
      <c r="P25" s="5" t="s">
        <v>14</v>
      </c>
      <c r="Q25" s="4" t="str">
        <f>$A$6&amp;".CONTROLLER_PROGRAM"</f>
        <v>BXX_PLC1.CONTROLLER_PROGRAM</v>
      </c>
      <c r="R25" s="5" t="s">
        <v>14</v>
      </c>
      <c r="S25" s="4" t="str">
        <f t="shared" si="3"/>
        <v>BXX Controller Program Mode Status</v>
      </c>
      <c r="T25" s="5">
        <v>0</v>
      </c>
      <c r="U25" s="5">
        <v>0</v>
      </c>
    </row>
    <row r="26" spans="1:64" x14ac:dyDescent="0.25">
      <c r="A26" s="5" t="s">
        <v>70</v>
      </c>
      <c r="B26" s="5" t="s">
        <v>16</v>
      </c>
      <c r="C26" s="5" t="s">
        <v>17</v>
      </c>
      <c r="D26" s="2">
        <f t="shared" si="2"/>
        <v>7</v>
      </c>
      <c r="E26" s="5" t="s">
        <v>39</v>
      </c>
      <c r="F26" s="5" t="s">
        <v>18</v>
      </c>
      <c r="G26" s="5" t="s">
        <v>19</v>
      </c>
      <c r="H26" s="5" t="s">
        <v>40</v>
      </c>
      <c r="I26" s="5" t="s">
        <v>71</v>
      </c>
      <c r="J26" s="5" t="s">
        <v>72</v>
      </c>
      <c r="K26" s="5" t="s">
        <v>73</v>
      </c>
      <c r="L26" s="5" t="s">
        <v>74</v>
      </c>
      <c r="M26" s="5" t="s">
        <v>75</v>
      </c>
      <c r="N26" s="5" t="s">
        <v>76</v>
      </c>
      <c r="O26" s="5" t="s">
        <v>77</v>
      </c>
      <c r="P26" s="5" t="s">
        <v>78</v>
      </c>
      <c r="Q26" s="5" t="s">
        <v>79</v>
      </c>
      <c r="R26" s="5" t="s">
        <v>80</v>
      </c>
      <c r="S26" s="5" t="s">
        <v>81</v>
      </c>
      <c r="T26" s="5" t="s">
        <v>82</v>
      </c>
      <c r="U26" s="5" t="s">
        <v>83</v>
      </c>
      <c r="V26" s="5" t="s">
        <v>84</v>
      </c>
      <c r="W26" s="5" t="s">
        <v>85</v>
      </c>
      <c r="X26" s="5" t="s">
        <v>86</v>
      </c>
      <c r="Y26" s="5" t="s">
        <v>87</v>
      </c>
      <c r="Z26" s="5" t="s">
        <v>88</v>
      </c>
      <c r="AA26" s="5" t="s">
        <v>89</v>
      </c>
      <c r="AB26" s="5" t="s">
        <v>90</v>
      </c>
      <c r="AC26" s="5" t="s">
        <v>91</v>
      </c>
      <c r="AD26" s="5" t="s">
        <v>92</v>
      </c>
      <c r="AE26" s="5" t="s">
        <v>93</v>
      </c>
      <c r="AF26" s="5" t="s">
        <v>94</v>
      </c>
      <c r="AG26" s="5" t="s">
        <v>95</v>
      </c>
      <c r="AH26" s="5" t="s">
        <v>96</v>
      </c>
      <c r="AI26" s="5" t="s">
        <v>97</v>
      </c>
      <c r="AJ26" s="5" t="s">
        <v>98</v>
      </c>
      <c r="AK26" s="5" t="s">
        <v>99</v>
      </c>
      <c r="AL26" s="5" t="s">
        <v>100</v>
      </c>
      <c r="AM26" s="5" t="s">
        <v>101</v>
      </c>
      <c r="AN26" s="5" t="s">
        <v>102</v>
      </c>
      <c r="AO26" s="5" t="s">
        <v>103</v>
      </c>
      <c r="AP26" s="5" t="s">
        <v>104</v>
      </c>
      <c r="AQ26" s="5" t="s">
        <v>105</v>
      </c>
      <c r="AR26" s="5" t="s">
        <v>47</v>
      </c>
      <c r="AS26" s="5" t="s">
        <v>48</v>
      </c>
      <c r="AT26" s="5" t="s">
        <v>49</v>
      </c>
      <c r="AU26" s="5" t="s">
        <v>50</v>
      </c>
      <c r="AV26" s="5" t="s">
        <v>51</v>
      </c>
      <c r="AW26" s="5" t="s">
        <v>52</v>
      </c>
      <c r="AX26" s="5" t="s">
        <v>20</v>
      </c>
      <c r="AY26" s="5" t="s">
        <v>21</v>
      </c>
      <c r="AZ26" s="5" t="s">
        <v>22</v>
      </c>
      <c r="BA26" s="5" t="s">
        <v>23</v>
      </c>
      <c r="BB26" s="5" t="s">
        <v>24</v>
      </c>
      <c r="BC26" s="5" t="s">
        <v>25</v>
      </c>
      <c r="BD26" s="5" t="s">
        <v>26</v>
      </c>
      <c r="BE26" s="5" t="s">
        <v>28</v>
      </c>
      <c r="BF26" s="5" t="s">
        <v>29</v>
      </c>
      <c r="BG26" s="5" t="s">
        <v>30</v>
      </c>
      <c r="BH26" s="5" t="s">
        <v>31</v>
      </c>
      <c r="BI26" s="5" t="s">
        <v>32</v>
      </c>
      <c r="BJ26" s="5" t="s">
        <v>33</v>
      </c>
      <c r="BK26" s="5" t="s">
        <v>34</v>
      </c>
      <c r="BL26" s="5" t="s">
        <v>53</v>
      </c>
    </row>
    <row r="27" spans="1:64" x14ac:dyDescent="0.25">
      <c r="A27" s="4" t="str">
        <f>$A$6&amp;"_CK1_AI_YY"</f>
        <v>BXX_PLC1_CK1_AI_YY</v>
      </c>
      <c r="B27" s="4" t="str">
        <f t="shared" ref="B27:B41" si="4">$A$6</f>
        <v>BXX_PLC1</v>
      </c>
      <c r="C27" s="4" t="str">
        <f>$A$5 &amp; " Date - Year"</f>
        <v>BXX Date - Year</v>
      </c>
      <c r="D27" s="2">
        <f t="shared" si="2"/>
        <v>15</v>
      </c>
      <c r="E27" s="5" t="s">
        <v>14</v>
      </c>
      <c r="F27" s="5" t="s">
        <v>14</v>
      </c>
      <c r="G27" s="5">
        <v>0</v>
      </c>
      <c r="H27" s="5" t="s">
        <v>13</v>
      </c>
      <c r="I27" s="5" t="s">
        <v>14</v>
      </c>
      <c r="J27" s="5">
        <v>0</v>
      </c>
      <c r="K27" s="5">
        <v>0</v>
      </c>
      <c r="L27" s="5" t="s">
        <v>106</v>
      </c>
      <c r="M27" s="5">
        <v>0</v>
      </c>
      <c r="N27" s="5">
        <v>0</v>
      </c>
      <c r="O27" s="5">
        <v>9999</v>
      </c>
      <c r="P27" s="5">
        <v>0</v>
      </c>
      <c r="Q27" s="5">
        <v>0</v>
      </c>
      <c r="R27" s="5" t="s">
        <v>54</v>
      </c>
      <c r="S27" s="5">
        <v>0</v>
      </c>
      <c r="T27" s="5">
        <v>1</v>
      </c>
      <c r="U27" s="5" t="s">
        <v>54</v>
      </c>
      <c r="V27" s="5">
        <v>0</v>
      </c>
      <c r="W27" s="5">
        <v>1</v>
      </c>
      <c r="X27" s="5" t="s">
        <v>54</v>
      </c>
      <c r="Y27" s="5">
        <v>0</v>
      </c>
      <c r="Z27" s="5">
        <v>1</v>
      </c>
      <c r="AA27" s="5" t="s">
        <v>54</v>
      </c>
      <c r="AB27" s="5">
        <v>0</v>
      </c>
      <c r="AC27" s="5">
        <v>1</v>
      </c>
      <c r="AD27" s="5" t="s">
        <v>54</v>
      </c>
      <c r="AE27" s="5">
        <v>0</v>
      </c>
      <c r="AF27" s="5">
        <v>1</v>
      </c>
      <c r="AG27" s="5" t="s">
        <v>54</v>
      </c>
      <c r="AH27" s="5">
        <v>0</v>
      </c>
      <c r="AI27" s="5">
        <v>1</v>
      </c>
      <c r="AJ27" s="5">
        <v>0</v>
      </c>
      <c r="AK27" s="5" t="s">
        <v>54</v>
      </c>
      <c r="AL27" s="5">
        <v>0</v>
      </c>
      <c r="AM27" s="5">
        <v>1</v>
      </c>
      <c r="AN27" s="5" t="s">
        <v>107</v>
      </c>
      <c r="AO27" s="5">
        <v>0</v>
      </c>
      <c r="AP27" s="5">
        <v>9999</v>
      </c>
      <c r="AQ27" s="5" t="s">
        <v>108</v>
      </c>
      <c r="AR27" s="4" t="str">
        <f>$A$3</f>
        <v>BXX</v>
      </c>
      <c r="AS27" s="5" t="s">
        <v>14</v>
      </c>
      <c r="AT27" s="4" t="str">
        <f>$A$6&amp;".CK.AI_YY"</f>
        <v>BXX_PLC1.CK.AI_YY</v>
      </c>
      <c r="AU27" s="5" t="s">
        <v>14</v>
      </c>
      <c r="AV27" s="4" t="str">
        <f>C27</f>
        <v>BXX Date - Year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</row>
    <row r="28" spans="1:64" x14ac:dyDescent="0.25">
      <c r="A28" s="4" t="str">
        <f>$A$6&amp;"_CK1_AO_SN"</f>
        <v>BXX_PLC1_CK1_AO_SN</v>
      </c>
      <c r="B28" s="4" t="str">
        <f t="shared" si="4"/>
        <v>BXX_PLC1</v>
      </c>
      <c r="C28" s="4" t="str">
        <f>$A$5 &amp; " Date - Second Setting"</f>
        <v>BXX Date - Second Setting</v>
      </c>
      <c r="D28" s="2">
        <f t="shared" si="2"/>
        <v>25</v>
      </c>
      <c r="E28" s="5" t="s">
        <v>14</v>
      </c>
      <c r="F28" s="5" t="s">
        <v>14</v>
      </c>
      <c r="G28" s="5">
        <v>0</v>
      </c>
      <c r="H28" s="5" t="s">
        <v>13</v>
      </c>
      <c r="I28" s="5" t="s">
        <v>14</v>
      </c>
      <c r="J28" s="5">
        <v>0</v>
      </c>
      <c r="K28" s="5">
        <v>0</v>
      </c>
      <c r="L28" s="5" t="s">
        <v>109</v>
      </c>
      <c r="M28" s="5">
        <v>0</v>
      </c>
      <c r="N28" s="5">
        <v>0</v>
      </c>
      <c r="O28" s="5">
        <v>59</v>
      </c>
      <c r="P28" s="5">
        <v>0</v>
      </c>
      <c r="Q28" s="5">
        <v>0</v>
      </c>
      <c r="R28" s="5" t="s">
        <v>54</v>
      </c>
      <c r="S28" s="5">
        <v>0</v>
      </c>
      <c r="T28" s="5">
        <v>1</v>
      </c>
      <c r="U28" s="5" t="s">
        <v>54</v>
      </c>
      <c r="V28" s="5">
        <v>0</v>
      </c>
      <c r="W28" s="5">
        <v>1</v>
      </c>
      <c r="X28" s="5" t="s">
        <v>54</v>
      </c>
      <c r="Y28" s="5">
        <v>0</v>
      </c>
      <c r="Z28" s="5">
        <v>1</v>
      </c>
      <c r="AA28" s="5" t="s">
        <v>54</v>
      </c>
      <c r="AB28" s="5">
        <v>0</v>
      </c>
      <c r="AC28" s="5">
        <v>1</v>
      </c>
      <c r="AD28" s="5" t="s">
        <v>54</v>
      </c>
      <c r="AE28" s="5">
        <v>0</v>
      </c>
      <c r="AF28" s="5">
        <v>1</v>
      </c>
      <c r="AG28" s="5" t="s">
        <v>54</v>
      </c>
      <c r="AH28" s="5">
        <v>0</v>
      </c>
      <c r="AI28" s="5">
        <v>1</v>
      </c>
      <c r="AJ28" s="5">
        <v>0</v>
      </c>
      <c r="AK28" s="5" t="s">
        <v>54</v>
      </c>
      <c r="AL28" s="5">
        <v>0</v>
      </c>
      <c r="AM28" s="5">
        <v>1</v>
      </c>
      <c r="AN28" s="5" t="s">
        <v>107</v>
      </c>
      <c r="AO28" s="5">
        <v>0</v>
      </c>
      <c r="AP28" s="5">
        <v>59</v>
      </c>
      <c r="AQ28" s="5" t="s">
        <v>108</v>
      </c>
      <c r="AR28" s="4" t="str">
        <f t="shared" ref="AR28:AR41" si="5">$A$3</f>
        <v>BXX</v>
      </c>
      <c r="AS28" s="5" t="s">
        <v>14</v>
      </c>
      <c r="AT28" s="4" t="str">
        <f>$A$6&amp;".AO_SN"</f>
        <v>BXX_PLC1.AO_SN</v>
      </c>
      <c r="AU28" s="5" t="s">
        <v>14</v>
      </c>
      <c r="AV28" s="4" t="str">
        <f t="shared" ref="AV28:AV41" si="6">C28</f>
        <v>BXX Date - Second Setting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</row>
    <row r="29" spans="1:64" x14ac:dyDescent="0.25">
      <c r="A29" s="4" t="str">
        <f>$A$6&amp;"_F31_AI_CV"</f>
        <v>BXX_PLC1_F31_AI_CV</v>
      </c>
      <c r="B29" s="4" t="str">
        <f t="shared" si="4"/>
        <v>BXX_PLC1</v>
      </c>
      <c r="C29" s="4" t="str">
        <f>$A$5 &amp; "  Major Fault Code"</f>
        <v>BXX  Major Fault Code</v>
      </c>
      <c r="D29" s="2">
        <f t="shared" si="2"/>
        <v>21</v>
      </c>
      <c r="E29" s="5" t="s">
        <v>14</v>
      </c>
      <c r="F29" s="5" t="s">
        <v>14</v>
      </c>
      <c r="G29" s="5">
        <v>0</v>
      </c>
      <c r="H29" s="5" t="s">
        <v>13</v>
      </c>
      <c r="I29" s="5" t="s">
        <v>14</v>
      </c>
      <c r="J29" s="5">
        <v>0</v>
      </c>
      <c r="K29" s="5">
        <v>0</v>
      </c>
      <c r="M29" s="5">
        <v>0</v>
      </c>
      <c r="N29" s="5">
        <v>0</v>
      </c>
      <c r="O29" s="5">
        <v>1000</v>
      </c>
      <c r="P29" s="5">
        <v>0</v>
      </c>
      <c r="Q29" s="5">
        <v>0</v>
      </c>
      <c r="R29" s="5" t="s">
        <v>54</v>
      </c>
      <c r="S29" s="5">
        <v>0</v>
      </c>
      <c r="T29" s="5">
        <v>1</v>
      </c>
      <c r="U29" s="5" t="s">
        <v>54</v>
      </c>
      <c r="V29" s="5">
        <v>0</v>
      </c>
      <c r="W29" s="5">
        <v>1</v>
      </c>
      <c r="X29" s="5" t="s">
        <v>54</v>
      </c>
      <c r="Y29" s="5">
        <v>0</v>
      </c>
      <c r="Z29" s="5">
        <v>1</v>
      </c>
      <c r="AA29" s="5" t="s">
        <v>54</v>
      </c>
      <c r="AB29" s="5">
        <v>0</v>
      </c>
      <c r="AC29" s="5">
        <v>1</v>
      </c>
      <c r="AD29" s="5" t="s">
        <v>54</v>
      </c>
      <c r="AE29" s="5">
        <v>0</v>
      </c>
      <c r="AF29" s="5">
        <v>1</v>
      </c>
      <c r="AG29" s="5" t="s">
        <v>54</v>
      </c>
      <c r="AH29" s="5">
        <v>0</v>
      </c>
      <c r="AI29" s="5">
        <v>1</v>
      </c>
      <c r="AJ29" s="5">
        <v>0</v>
      </c>
      <c r="AK29" s="5" t="s">
        <v>54</v>
      </c>
      <c r="AL29" s="5">
        <v>0</v>
      </c>
      <c r="AM29" s="5">
        <v>1</v>
      </c>
      <c r="AN29" s="5" t="s">
        <v>107</v>
      </c>
      <c r="AO29" s="5">
        <v>0</v>
      </c>
      <c r="AP29" s="5">
        <v>1000</v>
      </c>
      <c r="AQ29" s="5" t="s">
        <v>108</v>
      </c>
      <c r="AR29" s="4" t="str">
        <f t="shared" si="5"/>
        <v>BXX</v>
      </c>
      <c r="AS29" s="5" t="s">
        <v>14</v>
      </c>
      <c r="AT29" s="4" t="str">
        <f>$A$6&amp;".MAJOR_FAULT_CODE"</f>
        <v>BXX_PLC1.MAJOR_FAULT_CODE</v>
      </c>
      <c r="AU29" s="5" t="s">
        <v>14</v>
      </c>
      <c r="AV29" s="4" t="str">
        <f t="shared" si="6"/>
        <v>BXX  Major Fault Code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</row>
    <row r="30" spans="1:64" x14ac:dyDescent="0.25">
      <c r="A30" s="4" t="str">
        <f>$A$6&amp;"_F21_AI_CV"</f>
        <v>BXX_PLC1_F21_AI_CV</v>
      </c>
      <c r="B30" s="4" t="str">
        <f t="shared" si="4"/>
        <v>BXX_PLC1</v>
      </c>
      <c r="C30" s="4" t="str">
        <f>$A$5 &amp; " Major Fault Information"</f>
        <v>BXX Major Fault Information</v>
      </c>
      <c r="D30" s="2">
        <f t="shared" si="2"/>
        <v>27</v>
      </c>
      <c r="E30" s="5" t="s">
        <v>14</v>
      </c>
      <c r="F30" s="5" t="s">
        <v>14</v>
      </c>
      <c r="G30" s="5">
        <v>0</v>
      </c>
      <c r="H30" s="5" t="s">
        <v>13</v>
      </c>
      <c r="I30" s="5" t="s">
        <v>14</v>
      </c>
      <c r="J30" s="5">
        <v>0</v>
      </c>
      <c r="K30" s="5">
        <v>0</v>
      </c>
      <c r="M30" s="5">
        <v>0</v>
      </c>
      <c r="N30" s="5">
        <v>0</v>
      </c>
      <c r="O30" s="5">
        <v>1000</v>
      </c>
      <c r="P30" s="5">
        <v>0</v>
      </c>
      <c r="Q30" s="5">
        <v>0</v>
      </c>
      <c r="R30" s="5" t="s">
        <v>54</v>
      </c>
      <c r="S30" s="5">
        <v>0</v>
      </c>
      <c r="T30" s="5">
        <v>1</v>
      </c>
      <c r="U30" s="5" t="s">
        <v>54</v>
      </c>
      <c r="V30" s="5">
        <v>0</v>
      </c>
      <c r="W30" s="5">
        <v>1</v>
      </c>
      <c r="X30" s="5" t="s">
        <v>54</v>
      </c>
      <c r="Y30" s="5">
        <v>0</v>
      </c>
      <c r="Z30" s="5">
        <v>1</v>
      </c>
      <c r="AA30" s="5" t="s">
        <v>54</v>
      </c>
      <c r="AB30" s="5">
        <v>0</v>
      </c>
      <c r="AC30" s="5">
        <v>1</v>
      </c>
      <c r="AD30" s="5" t="s">
        <v>54</v>
      </c>
      <c r="AE30" s="5">
        <v>0</v>
      </c>
      <c r="AF30" s="5">
        <v>1</v>
      </c>
      <c r="AG30" s="5" t="s">
        <v>54</v>
      </c>
      <c r="AH30" s="5">
        <v>0</v>
      </c>
      <c r="AI30" s="5">
        <v>1</v>
      </c>
      <c r="AJ30" s="5">
        <v>0</v>
      </c>
      <c r="AK30" s="5" t="s">
        <v>54</v>
      </c>
      <c r="AL30" s="5">
        <v>0</v>
      </c>
      <c r="AM30" s="5">
        <v>1</v>
      </c>
      <c r="AN30" s="5" t="s">
        <v>107</v>
      </c>
      <c r="AO30" s="5">
        <v>0</v>
      </c>
      <c r="AP30" s="5">
        <v>1000</v>
      </c>
      <c r="AQ30" s="5" t="s">
        <v>108</v>
      </c>
      <c r="AR30" s="4" t="str">
        <f t="shared" si="5"/>
        <v>BXX</v>
      </c>
      <c r="AS30" s="5" t="s">
        <v>14</v>
      </c>
      <c r="AT30" s="4" t="str">
        <f>$A$6&amp;".MAJOR_FAULT_INFO"</f>
        <v>BXX_PLC1.MAJOR_FAULT_INFO</v>
      </c>
      <c r="AU30" s="5" t="s">
        <v>14</v>
      </c>
      <c r="AV30" s="4" t="str">
        <f t="shared" si="6"/>
        <v>BXX Major Fault Information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</row>
    <row r="31" spans="1:64" x14ac:dyDescent="0.25">
      <c r="A31" s="4" t="str">
        <f>$A$6&amp;"_CK1_AI_SN"</f>
        <v>BXX_PLC1_CK1_AI_SN</v>
      </c>
      <c r="B31" s="4" t="str">
        <f t="shared" si="4"/>
        <v>BXX_PLC1</v>
      </c>
      <c r="C31" s="4" t="str">
        <f>$A$5 &amp; " Date - Second"</f>
        <v>BXX Date - Second</v>
      </c>
      <c r="D31" s="2">
        <f t="shared" si="2"/>
        <v>17</v>
      </c>
      <c r="E31" s="5" t="s">
        <v>14</v>
      </c>
      <c r="F31" s="5" t="s">
        <v>14</v>
      </c>
      <c r="G31" s="5">
        <v>0</v>
      </c>
      <c r="H31" s="5" t="s">
        <v>13</v>
      </c>
      <c r="I31" s="5" t="s">
        <v>14</v>
      </c>
      <c r="J31" s="5">
        <v>0</v>
      </c>
      <c r="K31" s="5">
        <v>0</v>
      </c>
      <c r="L31" s="5" t="s">
        <v>109</v>
      </c>
      <c r="M31" s="5">
        <v>0</v>
      </c>
      <c r="N31" s="5">
        <v>0</v>
      </c>
      <c r="O31" s="5">
        <v>59</v>
      </c>
      <c r="P31" s="5">
        <v>0</v>
      </c>
      <c r="Q31" s="5">
        <v>0</v>
      </c>
      <c r="R31" s="5" t="s">
        <v>54</v>
      </c>
      <c r="S31" s="5">
        <v>0</v>
      </c>
      <c r="T31" s="5">
        <v>1</v>
      </c>
      <c r="U31" s="5" t="s">
        <v>54</v>
      </c>
      <c r="V31" s="5">
        <v>0</v>
      </c>
      <c r="W31" s="5">
        <v>1</v>
      </c>
      <c r="X31" s="5" t="s">
        <v>54</v>
      </c>
      <c r="Y31" s="5">
        <v>0</v>
      </c>
      <c r="Z31" s="5">
        <v>1</v>
      </c>
      <c r="AA31" s="5" t="s">
        <v>54</v>
      </c>
      <c r="AB31" s="5">
        <v>0</v>
      </c>
      <c r="AC31" s="5">
        <v>1</v>
      </c>
      <c r="AD31" s="5" t="s">
        <v>54</v>
      </c>
      <c r="AE31" s="5">
        <v>0</v>
      </c>
      <c r="AF31" s="5">
        <v>1</v>
      </c>
      <c r="AG31" s="5" t="s">
        <v>54</v>
      </c>
      <c r="AH31" s="5">
        <v>0</v>
      </c>
      <c r="AI31" s="5">
        <v>1</v>
      </c>
      <c r="AJ31" s="5">
        <v>0</v>
      </c>
      <c r="AK31" s="5" t="s">
        <v>54</v>
      </c>
      <c r="AL31" s="5">
        <v>0</v>
      </c>
      <c r="AM31" s="5">
        <v>1</v>
      </c>
      <c r="AN31" s="5" t="s">
        <v>107</v>
      </c>
      <c r="AO31" s="5">
        <v>0</v>
      </c>
      <c r="AP31" s="5">
        <v>59</v>
      </c>
      <c r="AQ31" s="5" t="s">
        <v>108</v>
      </c>
      <c r="AR31" s="4" t="str">
        <f t="shared" si="5"/>
        <v>BXX</v>
      </c>
      <c r="AS31" s="5" t="s">
        <v>14</v>
      </c>
      <c r="AT31" s="4" t="str">
        <f>$A$6&amp;".CK.AI_SN"</f>
        <v>BXX_PLC1.CK.AI_SN</v>
      </c>
      <c r="AU31" s="5" t="s">
        <v>14</v>
      </c>
      <c r="AV31" s="4" t="str">
        <f t="shared" si="6"/>
        <v>BXX Date - Second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</row>
    <row r="32" spans="1:64" x14ac:dyDescent="0.25">
      <c r="A32" s="4" t="str">
        <f>$A$6&amp;"_CK1_AI_MM"</f>
        <v>BXX_PLC1_CK1_AI_MM</v>
      </c>
      <c r="B32" s="4" t="str">
        <f t="shared" si="4"/>
        <v>BXX_PLC1</v>
      </c>
      <c r="C32" s="4" t="str">
        <f>$A$5 &amp; " Date - Month"</f>
        <v>BXX Date - Month</v>
      </c>
      <c r="D32" s="2">
        <f t="shared" si="2"/>
        <v>16</v>
      </c>
      <c r="E32" s="5" t="s">
        <v>14</v>
      </c>
      <c r="F32" s="5" t="s">
        <v>14</v>
      </c>
      <c r="G32" s="5">
        <v>0</v>
      </c>
      <c r="H32" s="5" t="s">
        <v>13</v>
      </c>
      <c r="I32" s="5" t="s">
        <v>14</v>
      </c>
      <c r="J32" s="5">
        <v>0</v>
      </c>
      <c r="K32" s="5">
        <v>0</v>
      </c>
      <c r="L32" s="5" t="s">
        <v>110</v>
      </c>
      <c r="M32" s="5">
        <v>0</v>
      </c>
      <c r="N32" s="5">
        <v>0</v>
      </c>
      <c r="O32" s="5">
        <v>12</v>
      </c>
      <c r="P32" s="5">
        <v>0</v>
      </c>
      <c r="Q32" s="5">
        <v>0</v>
      </c>
      <c r="R32" s="5" t="s">
        <v>54</v>
      </c>
      <c r="S32" s="5">
        <v>0</v>
      </c>
      <c r="T32" s="5">
        <v>1</v>
      </c>
      <c r="U32" s="5" t="s">
        <v>54</v>
      </c>
      <c r="V32" s="5">
        <v>0</v>
      </c>
      <c r="W32" s="5">
        <v>1</v>
      </c>
      <c r="X32" s="5" t="s">
        <v>54</v>
      </c>
      <c r="Y32" s="5">
        <v>0</v>
      </c>
      <c r="Z32" s="5">
        <v>1</v>
      </c>
      <c r="AA32" s="5" t="s">
        <v>54</v>
      </c>
      <c r="AB32" s="5">
        <v>0</v>
      </c>
      <c r="AC32" s="5">
        <v>1</v>
      </c>
      <c r="AD32" s="5" t="s">
        <v>54</v>
      </c>
      <c r="AE32" s="5">
        <v>0</v>
      </c>
      <c r="AF32" s="5">
        <v>1</v>
      </c>
      <c r="AG32" s="5" t="s">
        <v>54</v>
      </c>
      <c r="AH32" s="5">
        <v>0</v>
      </c>
      <c r="AI32" s="5">
        <v>1</v>
      </c>
      <c r="AJ32" s="5">
        <v>0</v>
      </c>
      <c r="AK32" s="5" t="s">
        <v>54</v>
      </c>
      <c r="AL32" s="5">
        <v>0</v>
      </c>
      <c r="AM32" s="5">
        <v>1</v>
      </c>
      <c r="AN32" s="5" t="s">
        <v>107</v>
      </c>
      <c r="AO32" s="5">
        <v>0</v>
      </c>
      <c r="AP32" s="5">
        <v>12</v>
      </c>
      <c r="AQ32" s="5" t="s">
        <v>108</v>
      </c>
      <c r="AR32" s="4" t="str">
        <f t="shared" si="5"/>
        <v>BXX</v>
      </c>
      <c r="AS32" s="5" t="s">
        <v>14</v>
      </c>
      <c r="AT32" s="4" t="str">
        <f>$A$6&amp;".CK.AI_MM"</f>
        <v>BXX_PLC1.CK.AI_MM</v>
      </c>
      <c r="AU32" s="5" t="s">
        <v>14</v>
      </c>
      <c r="AV32" s="4" t="str">
        <f t="shared" si="6"/>
        <v>BXX Date - Month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</row>
    <row r="33" spans="1:56" x14ac:dyDescent="0.25">
      <c r="A33" s="4" t="str">
        <f>$A$6&amp;"_CK1_AI_MS"</f>
        <v>BXX_PLC1_CK1_AI_MS</v>
      </c>
      <c r="B33" s="4" t="str">
        <f t="shared" si="4"/>
        <v>BXX_PLC1</v>
      </c>
      <c r="C33" s="4" t="str">
        <f>$A$5 &amp; " Date - Minutes"</f>
        <v>BXX Date - Minutes</v>
      </c>
      <c r="D33" s="2">
        <f t="shared" si="2"/>
        <v>18</v>
      </c>
      <c r="E33" s="5" t="s">
        <v>14</v>
      </c>
      <c r="F33" s="5" t="s">
        <v>14</v>
      </c>
      <c r="G33" s="5">
        <v>0</v>
      </c>
      <c r="H33" s="5" t="s">
        <v>13</v>
      </c>
      <c r="I33" s="5" t="s">
        <v>14</v>
      </c>
      <c r="J33" s="5">
        <v>0</v>
      </c>
      <c r="K33" s="5">
        <v>0</v>
      </c>
      <c r="L33" s="5" t="s">
        <v>107</v>
      </c>
      <c r="M33" s="5">
        <v>0</v>
      </c>
      <c r="N33" s="5">
        <v>0</v>
      </c>
      <c r="O33" s="5">
        <v>59</v>
      </c>
      <c r="P33" s="5">
        <v>0</v>
      </c>
      <c r="Q33" s="5">
        <v>0</v>
      </c>
      <c r="R33" s="5" t="s">
        <v>54</v>
      </c>
      <c r="S33" s="5">
        <v>0</v>
      </c>
      <c r="T33" s="5">
        <v>1</v>
      </c>
      <c r="U33" s="5" t="s">
        <v>54</v>
      </c>
      <c r="V33" s="5">
        <v>0</v>
      </c>
      <c r="W33" s="5">
        <v>1</v>
      </c>
      <c r="X33" s="5" t="s">
        <v>54</v>
      </c>
      <c r="Y33" s="5">
        <v>0</v>
      </c>
      <c r="Z33" s="5">
        <v>1</v>
      </c>
      <c r="AA33" s="5" t="s">
        <v>54</v>
      </c>
      <c r="AB33" s="5">
        <v>0</v>
      </c>
      <c r="AC33" s="5">
        <v>1</v>
      </c>
      <c r="AD33" s="5" t="s">
        <v>54</v>
      </c>
      <c r="AE33" s="5">
        <v>0</v>
      </c>
      <c r="AF33" s="5">
        <v>1</v>
      </c>
      <c r="AG33" s="5" t="s">
        <v>54</v>
      </c>
      <c r="AH33" s="5">
        <v>0</v>
      </c>
      <c r="AI33" s="5">
        <v>1</v>
      </c>
      <c r="AJ33" s="5">
        <v>0</v>
      </c>
      <c r="AK33" s="5" t="s">
        <v>54</v>
      </c>
      <c r="AL33" s="5">
        <v>0</v>
      </c>
      <c r="AM33" s="5">
        <v>1</v>
      </c>
      <c r="AN33" s="5" t="s">
        <v>107</v>
      </c>
      <c r="AO33" s="5">
        <v>0</v>
      </c>
      <c r="AP33" s="5">
        <v>59</v>
      </c>
      <c r="AQ33" s="5" t="s">
        <v>108</v>
      </c>
      <c r="AR33" s="4" t="str">
        <f t="shared" si="5"/>
        <v>BXX</v>
      </c>
      <c r="AS33" s="5" t="s">
        <v>14</v>
      </c>
      <c r="AT33" s="4" t="str">
        <f>$A$6&amp;".CK.AI_MS"</f>
        <v>BXX_PLC1.CK.AI_MS</v>
      </c>
      <c r="AU33" s="5" t="s">
        <v>14</v>
      </c>
      <c r="AV33" s="4" t="str">
        <f t="shared" si="6"/>
        <v>BXX Date - Minutes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</row>
    <row r="34" spans="1:56" x14ac:dyDescent="0.25">
      <c r="A34" s="4" t="str">
        <f>$A$6&amp;"_CK1_AI_HS"</f>
        <v>BXX_PLC1_CK1_AI_HS</v>
      </c>
      <c r="B34" s="4" t="str">
        <f t="shared" si="4"/>
        <v>BXX_PLC1</v>
      </c>
      <c r="C34" s="4" t="str">
        <f>$A$5 &amp; " Date - Hour"</f>
        <v>BXX Date - Hour</v>
      </c>
      <c r="D34" s="2">
        <f t="shared" si="2"/>
        <v>15</v>
      </c>
      <c r="E34" s="5" t="s">
        <v>14</v>
      </c>
      <c r="F34" s="5" t="s">
        <v>14</v>
      </c>
      <c r="G34" s="5">
        <v>0</v>
      </c>
      <c r="H34" s="5" t="s">
        <v>13</v>
      </c>
      <c r="I34" s="5" t="s">
        <v>14</v>
      </c>
      <c r="J34" s="5">
        <v>0</v>
      </c>
      <c r="K34" s="5">
        <v>0</v>
      </c>
      <c r="L34" s="5" t="s">
        <v>111</v>
      </c>
      <c r="M34" s="5">
        <v>0</v>
      </c>
      <c r="N34" s="5">
        <v>0</v>
      </c>
      <c r="O34" s="5">
        <v>23</v>
      </c>
      <c r="P34" s="5">
        <v>0</v>
      </c>
      <c r="Q34" s="5">
        <v>0</v>
      </c>
      <c r="R34" s="5" t="s">
        <v>54</v>
      </c>
      <c r="S34" s="5">
        <v>0</v>
      </c>
      <c r="T34" s="5">
        <v>1</v>
      </c>
      <c r="U34" s="5" t="s">
        <v>54</v>
      </c>
      <c r="V34" s="5">
        <v>0</v>
      </c>
      <c r="W34" s="5">
        <v>1</v>
      </c>
      <c r="X34" s="5" t="s">
        <v>54</v>
      </c>
      <c r="Y34" s="5">
        <v>0</v>
      </c>
      <c r="Z34" s="5">
        <v>1</v>
      </c>
      <c r="AA34" s="5" t="s">
        <v>54</v>
      </c>
      <c r="AB34" s="5">
        <v>0</v>
      </c>
      <c r="AC34" s="5">
        <v>1</v>
      </c>
      <c r="AD34" s="5" t="s">
        <v>54</v>
      </c>
      <c r="AE34" s="5">
        <v>0</v>
      </c>
      <c r="AF34" s="5">
        <v>1</v>
      </c>
      <c r="AG34" s="5" t="s">
        <v>54</v>
      </c>
      <c r="AH34" s="5">
        <v>0</v>
      </c>
      <c r="AI34" s="5">
        <v>1</v>
      </c>
      <c r="AJ34" s="5">
        <v>0</v>
      </c>
      <c r="AK34" s="5" t="s">
        <v>54</v>
      </c>
      <c r="AL34" s="5">
        <v>0</v>
      </c>
      <c r="AM34" s="5">
        <v>1</v>
      </c>
      <c r="AN34" s="5" t="s">
        <v>107</v>
      </c>
      <c r="AO34" s="5">
        <v>0</v>
      </c>
      <c r="AP34" s="5">
        <v>23</v>
      </c>
      <c r="AQ34" s="5" t="s">
        <v>108</v>
      </c>
      <c r="AR34" s="4" t="str">
        <f t="shared" si="5"/>
        <v>BXX</v>
      </c>
      <c r="AS34" s="5" t="s">
        <v>14</v>
      </c>
      <c r="AT34" s="4" t="str">
        <f>$A$6&amp;".CK.AI_HS"</f>
        <v>BXX_PLC1.CK.AI_HS</v>
      </c>
      <c r="AU34" s="5" t="s">
        <v>14</v>
      </c>
      <c r="AV34" s="4" t="str">
        <f t="shared" si="6"/>
        <v>BXX Date - Hour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</row>
    <row r="35" spans="1:56" x14ac:dyDescent="0.25">
      <c r="A35" s="4" t="str">
        <f>$A$6&amp;"_CK1_AI_DY"</f>
        <v>BXX_PLC1_CK1_AI_DY</v>
      </c>
      <c r="B35" s="4" t="str">
        <f t="shared" si="4"/>
        <v>BXX_PLC1</v>
      </c>
      <c r="C35" s="4" t="str">
        <f>$A$5 &amp; " Date - Day"</f>
        <v>BXX Date - Day</v>
      </c>
      <c r="D35" s="2">
        <f t="shared" si="2"/>
        <v>14</v>
      </c>
      <c r="E35" s="5" t="s">
        <v>14</v>
      </c>
      <c r="F35" s="5" t="s">
        <v>14</v>
      </c>
      <c r="G35" s="5">
        <v>0</v>
      </c>
      <c r="H35" s="5" t="s">
        <v>13</v>
      </c>
      <c r="I35" s="5" t="s">
        <v>14</v>
      </c>
      <c r="J35" s="5">
        <v>0</v>
      </c>
      <c r="K35" s="5">
        <v>0</v>
      </c>
      <c r="L35" s="5" t="s">
        <v>112</v>
      </c>
      <c r="M35" s="5">
        <v>0</v>
      </c>
      <c r="N35" s="5">
        <v>0</v>
      </c>
      <c r="O35" s="5">
        <v>31</v>
      </c>
      <c r="P35" s="5">
        <v>0</v>
      </c>
      <c r="Q35" s="5">
        <v>0</v>
      </c>
      <c r="R35" s="5" t="s">
        <v>54</v>
      </c>
      <c r="S35" s="5">
        <v>0</v>
      </c>
      <c r="T35" s="5">
        <v>1</v>
      </c>
      <c r="U35" s="5" t="s">
        <v>54</v>
      </c>
      <c r="V35" s="5">
        <v>0</v>
      </c>
      <c r="W35" s="5">
        <v>1</v>
      </c>
      <c r="X35" s="5" t="s">
        <v>54</v>
      </c>
      <c r="Y35" s="5">
        <v>0</v>
      </c>
      <c r="Z35" s="5">
        <v>1</v>
      </c>
      <c r="AA35" s="5" t="s">
        <v>54</v>
      </c>
      <c r="AB35" s="5">
        <v>0</v>
      </c>
      <c r="AC35" s="5">
        <v>1</v>
      </c>
      <c r="AD35" s="5" t="s">
        <v>54</v>
      </c>
      <c r="AE35" s="5">
        <v>0</v>
      </c>
      <c r="AF35" s="5">
        <v>1</v>
      </c>
      <c r="AG35" s="5" t="s">
        <v>54</v>
      </c>
      <c r="AH35" s="5">
        <v>0</v>
      </c>
      <c r="AI35" s="5">
        <v>1</v>
      </c>
      <c r="AJ35" s="5">
        <v>0</v>
      </c>
      <c r="AK35" s="5" t="s">
        <v>54</v>
      </c>
      <c r="AL35" s="5">
        <v>0</v>
      </c>
      <c r="AM35" s="5">
        <v>1</v>
      </c>
      <c r="AN35" s="5" t="s">
        <v>107</v>
      </c>
      <c r="AO35" s="5">
        <v>0</v>
      </c>
      <c r="AP35" s="5">
        <v>31</v>
      </c>
      <c r="AQ35" s="5" t="s">
        <v>108</v>
      </c>
      <c r="AR35" s="4" t="str">
        <f t="shared" si="5"/>
        <v>BXX</v>
      </c>
      <c r="AS35" s="5" t="s">
        <v>14</v>
      </c>
      <c r="AT35" s="4" t="str">
        <f>$A$6&amp;".CK.AI_DY"</f>
        <v>BXX_PLC1.CK.AI_DY</v>
      </c>
      <c r="AU35" s="5" t="s">
        <v>14</v>
      </c>
      <c r="AV35" s="4" t="str">
        <f t="shared" si="6"/>
        <v>BXX Date - Day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</row>
    <row r="36" spans="1:56" x14ac:dyDescent="0.25">
      <c r="A36" s="4" t="str">
        <f>$A$6&amp;"_CK1_AO_MS"</f>
        <v>BXX_PLC1_CK1_AO_MS</v>
      </c>
      <c r="B36" s="4" t="str">
        <f t="shared" si="4"/>
        <v>BXX_PLC1</v>
      </c>
      <c r="C36" s="4" t="str">
        <f>$A$5 &amp; " Date - Minutes Setting"</f>
        <v>BXX Date - Minutes Setting</v>
      </c>
      <c r="D36" s="2">
        <f t="shared" si="2"/>
        <v>26</v>
      </c>
      <c r="E36" s="5" t="s">
        <v>14</v>
      </c>
      <c r="F36" s="5" t="s">
        <v>14</v>
      </c>
      <c r="G36" s="5">
        <v>0</v>
      </c>
      <c r="H36" s="5" t="s">
        <v>13</v>
      </c>
      <c r="I36" s="5" t="s">
        <v>14</v>
      </c>
      <c r="J36" s="5">
        <v>0</v>
      </c>
      <c r="K36" s="5">
        <v>0</v>
      </c>
      <c r="L36" s="5" t="s">
        <v>107</v>
      </c>
      <c r="M36" s="5">
        <v>0</v>
      </c>
      <c r="N36" s="5">
        <v>0</v>
      </c>
      <c r="O36" s="5">
        <v>59</v>
      </c>
      <c r="P36" s="5">
        <v>0</v>
      </c>
      <c r="Q36" s="5">
        <v>0</v>
      </c>
      <c r="R36" s="5" t="s">
        <v>54</v>
      </c>
      <c r="S36" s="5">
        <v>0</v>
      </c>
      <c r="T36" s="5">
        <v>1</v>
      </c>
      <c r="U36" s="5" t="s">
        <v>54</v>
      </c>
      <c r="V36" s="5">
        <v>0</v>
      </c>
      <c r="W36" s="5">
        <v>1</v>
      </c>
      <c r="X36" s="5" t="s">
        <v>54</v>
      </c>
      <c r="Y36" s="5">
        <v>0</v>
      </c>
      <c r="Z36" s="5">
        <v>1</v>
      </c>
      <c r="AA36" s="5" t="s">
        <v>54</v>
      </c>
      <c r="AB36" s="5">
        <v>0</v>
      </c>
      <c r="AC36" s="5">
        <v>1</v>
      </c>
      <c r="AD36" s="5" t="s">
        <v>54</v>
      </c>
      <c r="AE36" s="5">
        <v>0</v>
      </c>
      <c r="AF36" s="5">
        <v>1</v>
      </c>
      <c r="AG36" s="5" t="s">
        <v>54</v>
      </c>
      <c r="AH36" s="5">
        <v>0</v>
      </c>
      <c r="AI36" s="5">
        <v>1</v>
      </c>
      <c r="AJ36" s="5">
        <v>0</v>
      </c>
      <c r="AK36" s="5" t="s">
        <v>54</v>
      </c>
      <c r="AL36" s="5">
        <v>0</v>
      </c>
      <c r="AM36" s="5">
        <v>1</v>
      </c>
      <c r="AN36" s="5" t="s">
        <v>107</v>
      </c>
      <c r="AO36" s="5">
        <v>0</v>
      </c>
      <c r="AP36" s="5">
        <v>59</v>
      </c>
      <c r="AQ36" s="5" t="s">
        <v>108</v>
      </c>
      <c r="AR36" s="4" t="str">
        <f t="shared" si="5"/>
        <v>BXX</v>
      </c>
      <c r="AS36" s="5" t="s">
        <v>14</v>
      </c>
      <c r="AT36" s="4" t="str">
        <f>$A$6&amp;".AO_MS"</f>
        <v>BXX_PLC1.AO_MS</v>
      </c>
      <c r="AU36" s="5" t="s">
        <v>14</v>
      </c>
      <c r="AV36" s="4" t="str">
        <f t="shared" si="6"/>
        <v>BXX Date - Minutes Setting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</row>
    <row r="37" spans="1:56" x14ac:dyDescent="0.25">
      <c r="A37" s="4" t="str">
        <f>$A$6&amp;"_CK1_AO_DY"</f>
        <v>BXX_PLC1_CK1_AO_DY</v>
      </c>
      <c r="B37" s="4" t="str">
        <f t="shared" si="4"/>
        <v>BXX_PLC1</v>
      </c>
      <c r="C37" s="4" t="str">
        <f>$A$5 &amp; " Date - Day Setting"</f>
        <v>BXX Date - Day Setting</v>
      </c>
      <c r="D37" s="2">
        <f t="shared" si="2"/>
        <v>22</v>
      </c>
      <c r="E37" s="5" t="s">
        <v>14</v>
      </c>
      <c r="F37" s="5" t="s">
        <v>14</v>
      </c>
      <c r="G37" s="5">
        <v>0</v>
      </c>
      <c r="H37" s="5" t="s">
        <v>13</v>
      </c>
      <c r="I37" s="5" t="s">
        <v>14</v>
      </c>
      <c r="J37" s="5">
        <v>0</v>
      </c>
      <c r="K37" s="5">
        <v>0</v>
      </c>
      <c r="L37" s="5" t="s">
        <v>112</v>
      </c>
      <c r="M37" s="5">
        <v>0</v>
      </c>
      <c r="N37" s="5">
        <v>0</v>
      </c>
      <c r="O37" s="5">
        <v>31</v>
      </c>
      <c r="P37" s="5">
        <v>0</v>
      </c>
      <c r="Q37" s="5">
        <v>0</v>
      </c>
      <c r="R37" s="5" t="s">
        <v>54</v>
      </c>
      <c r="S37" s="5">
        <v>0</v>
      </c>
      <c r="T37" s="5">
        <v>1</v>
      </c>
      <c r="U37" s="5" t="s">
        <v>54</v>
      </c>
      <c r="V37" s="5">
        <v>0</v>
      </c>
      <c r="W37" s="5">
        <v>1</v>
      </c>
      <c r="X37" s="5" t="s">
        <v>54</v>
      </c>
      <c r="Y37" s="5">
        <v>0</v>
      </c>
      <c r="Z37" s="5">
        <v>1</v>
      </c>
      <c r="AA37" s="5" t="s">
        <v>54</v>
      </c>
      <c r="AB37" s="5">
        <v>0</v>
      </c>
      <c r="AC37" s="5">
        <v>1</v>
      </c>
      <c r="AD37" s="5" t="s">
        <v>54</v>
      </c>
      <c r="AE37" s="5">
        <v>0</v>
      </c>
      <c r="AF37" s="5">
        <v>1</v>
      </c>
      <c r="AG37" s="5" t="s">
        <v>54</v>
      </c>
      <c r="AH37" s="5">
        <v>0</v>
      </c>
      <c r="AI37" s="5">
        <v>1</v>
      </c>
      <c r="AJ37" s="5">
        <v>0</v>
      </c>
      <c r="AK37" s="5" t="s">
        <v>54</v>
      </c>
      <c r="AL37" s="5">
        <v>0</v>
      </c>
      <c r="AM37" s="5">
        <v>1</v>
      </c>
      <c r="AN37" s="5" t="s">
        <v>107</v>
      </c>
      <c r="AO37" s="5">
        <v>0</v>
      </c>
      <c r="AP37" s="5">
        <v>31</v>
      </c>
      <c r="AQ37" s="5" t="s">
        <v>108</v>
      </c>
      <c r="AR37" s="4" t="str">
        <f t="shared" si="5"/>
        <v>BXX</v>
      </c>
      <c r="AS37" s="5" t="s">
        <v>14</v>
      </c>
      <c r="AT37" s="4" t="str">
        <f>$A$6&amp;".CK.AO_DY"</f>
        <v>BXX_PLC1.CK.AO_DY</v>
      </c>
      <c r="AU37" s="5" t="s">
        <v>14</v>
      </c>
      <c r="AV37" s="4" t="str">
        <f t="shared" si="6"/>
        <v>BXX Date - Day Setting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</row>
    <row r="38" spans="1:56" x14ac:dyDescent="0.25">
      <c r="A38" s="4" t="str">
        <f>$A$6&amp;"_CK1_AO_MM"</f>
        <v>BXX_PLC1_CK1_AO_MM</v>
      </c>
      <c r="B38" s="4" t="str">
        <f t="shared" si="4"/>
        <v>BXX_PLC1</v>
      </c>
      <c r="C38" s="4" t="str">
        <f>$A$5 &amp; " Date - Month Setting"</f>
        <v>BXX Date - Month Setting</v>
      </c>
      <c r="D38" s="2">
        <f t="shared" si="2"/>
        <v>24</v>
      </c>
      <c r="E38" s="5" t="s">
        <v>14</v>
      </c>
      <c r="F38" s="5" t="s">
        <v>14</v>
      </c>
      <c r="G38" s="5">
        <v>0</v>
      </c>
      <c r="H38" s="5" t="s">
        <v>13</v>
      </c>
      <c r="I38" s="5" t="s">
        <v>14</v>
      </c>
      <c r="J38" s="5">
        <v>0</v>
      </c>
      <c r="K38" s="5">
        <v>0</v>
      </c>
      <c r="L38" s="5" t="s">
        <v>110</v>
      </c>
      <c r="M38" s="5">
        <v>0</v>
      </c>
      <c r="N38" s="5">
        <v>0</v>
      </c>
      <c r="O38" s="5">
        <v>12</v>
      </c>
      <c r="P38" s="5">
        <v>0</v>
      </c>
      <c r="Q38" s="5">
        <v>0</v>
      </c>
      <c r="R38" s="5" t="s">
        <v>54</v>
      </c>
      <c r="S38" s="5">
        <v>0</v>
      </c>
      <c r="T38" s="5">
        <v>1</v>
      </c>
      <c r="U38" s="5" t="s">
        <v>54</v>
      </c>
      <c r="V38" s="5">
        <v>0</v>
      </c>
      <c r="W38" s="5">
        <v>1</v>
      </c>
      <c r="X38" s="5" t="s">
        <v>54</v>
      </c>
      <c r="Y38" s="5">
        <v>0</v>
      </c>
      <c r="Z38" s="5">
        <v>1</v>
      </c>
      <c r="AA38" s="5" t="s">
        <v>54</v>
      </c>
      <c r="AB38" s="5">
        <v>0</v>
      </c>
      <c r="AC38" s="5">
        <v>1</v>
      </c>
      <c r="AD38" s="5" t="s">
        <v>54</v>
      </c>
      <c r="AE38" s="5">
        <v>0</v>
      </c>
      <c r="AF38" s="5">
        <v>1</v>
      </c>
      <c r="AG38" s="5" t="s">
        <v>54</v>
      </c>
      <c r="AH38" s="5">
        <v>0</v>
      </c>
      <c r="AI38" s="5">
        <v>1</v>
      </c>
      <c r="AJ38" s="5">
        <v>0</v>
      </c>
      <c r="AK38" s="5" t="s">
        <v>54</v>
      </c>
      <c r="AL38" s="5">
        <v>0</v>
      </c>
      <c r="AM38" s="5">
        <v>1</v>
      </c>
      <c r="AN38" s="5" t="s">
        <v>107</v>
      </c>
      <c r="AO38" s="5">
        <v>0</v>
      </c>
      <c r="AP38" s="5">
        <v>12</v>
      </c>
      <c r="AQ38" s="5" t="s">
        <v>108</v>
      </c>
      <c r="AR38" s="4" t="str">
        <f t="shared" si="5"/>
        <v>BXX</v>
      </c>
      <c r="AS38" s="5" t="s">
        <v>14</v>
      </c>
      <c r="AT38" s="4" t="str">
        <f>$A$6&amp;".AO_MM"</f>
        <v>BXX_PLC1.AO_MM</v>
      </c>
      <c r="AU38" s="5" t="s">
        <v>14</v>
      </c>
      <c r="AV38" s="4" t="str">
        <f t="shared" si="6"/>
        <v>BXX Date - Month Setting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</row>
    <row r="39" spans="1:56" x14ac:dyDescent="0.25">
      <c r="A39" s="4" t="str">
        <f>$A$6&amp;"_CK1_AO_HS"</f>
        <v>BXX_PLC1_CK1_AO_HS</v>
      </c>
      <c r="B39" s="4" t="str">
        <f t="shared" si="4"/>
        <v>BXX_PLC1</v>
      </c>
      <c r="C39" s="4" t="str">
        <f>$A$5 &amp; " Date - Hour Setting"</f>
        <v>BXX Date - Hour Setting</v>
      </c>
      <c r="D39" s="2">
        <f t="shared" si="2"/>
        <v>23</v>
      </c>
      <c r="E39" s="5" t="s">
        <v>14</v>
      </c>
      <c r="F39" s="5" t="s">
        <v>14</v>
      </c>
      <c r="G39" s="5">
        <v>0</v>
      </c>
      <c r="H39" s="5" t="s">
        <v>13</v>
      </c>
      <c r="I39" s="5" t="s">
        <v>14</v>
      </c>
      <c r="J39" s="5">
        <v>0</v>
      </c>
      <c r="K39" s="5">
        <v>0</v>
      </c>
      <c r="L39" s="5" t="s">
        <v>111</v>
      </c>
      <c r="M39" s="5">
        <v>0</v>
      </c>
      <c r="N39" s="5">
        <v>0</v>
      </c>
      <c r="O39" s="5">
        <v>23</v>
      </c>
      <c r="P39" s="5">
        <v>0</v>
      </c>
      <c r="Q39" s="5">
        <v>0</v>
      </c>
      <c r="R39" s="5" t="s">
        <v>54</v>
      </c>
      <c r="S39" s="5">
        <v>0</v>
      </c>
      <c r="T39" s="5">
        <v>1</v>
      </c>
      <c r="U39" s="5" t="s">
        <v>54</v>
      </c>
      <c r="V39" s="5">
        <v>0</v>
      </c>
      <c r="W39" s="5">
        <v>1</v>
      </c>
      <c r="X39" s="5" t="s">
        <v>54</v>
      </c>
      <c r="Y39" s="5">
        <v>0</v>
      </c>
      <c r="Z39" s="5">
        <v>1</v>
      </c>
      <c r="AA39" s="5" t="s">
        <v>54</v>
      </c>
      <c r="AB39" s="5">
        <v>0</v>
      </c>
      <c r="AC39" s="5">
        <v>1</v>
      </c>
      <c r="AD39" s="5" t="s">
        <v>54</v>
      </c>
      <c r="AE39" s="5">
        <v>0</v>
      </c>
      <c r="AF39" s="5">
        <v>1</v>
      </c>
      <c r="AG39" s="5" t="s">
        <v>54</v>
      </c>
      <c r="AH39" s="5">
        <v>0</v>
      </c>
      <c r="AI39" s="5">
        <v>1</v>
      </c>
      <c r="AJ39" s="5">
        <v>0</v>
      </c>
      <c r="AK39" s="5" t="s">
        <v>54</v>
      </c>
      <c r="AL39" s="5">
        <v>0</v>
      </c>
      <c r="AM39" s="5">
        <v>1</v>
      </c>
      <c r="AN39" s="5" t="s">
        <v>107</v>
      </c>
      <c r="AO39" s="5">
        <v>0</v>
      </c>
      <c r="AP39" s="5">
        <v>23</v>
      </c>
      <c r="AQ39" s="5" t="s">
        <v>108</v>
      </c>
      <c r="AR39" s="4" t="str">
        <f t="shared" si="5"/>
        <v>BXX</v>
      </c>
      <c r="AS39" s="5" t="s">
        <v>14</v>
      </c>
      <c r="AT39" s="4" t="str">
        <f>$A$6&amp;".AO_HS"</f>
        <v>BXX_PLC1.AO_HS</v>
      </c>
      <c r="AU39" s="5" t="s">
        <v>14</v>
      </c>
      <c r="AV39" s="4" t="str">
        <f t="shared" si="6"/>
        <v>BXX Date - Hour Setting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</row>
    <row r="40" spans="1:56" x14ac:dyDescent="0.25">
      <c r="A40" s="4" t="str">
        <f>$A$6&amp;"_CK1_AO_YY"</f>
        <v>BXX_PLC1_CK1_AO_YY</v>
      </c>
      <c r="B40" s="4" t="str">
        <f t="shared" si="4"/>
        <v>BXX_PLC1</v>
      </c>
      <c r="C40" s="4" t="str">
        <f>$A$5 &amp; " Date - Year Setting"</f>
        <v>BXX Date - Year Setting</v>
      </c>
      <c r="D40" s="2">
        <f t="shared" ref="D40:D41" si="7">LEN(C40)</f>
        <v>23</v>
      </c>
      <c r="E40" s="5" t="s">
        <v>14</v>
      </c>
      <c r="F40" s="5" t="s">
        <v>14</v>
      </c>
      <c r="G40" s="5">
        <v>0</v>
      </c>
      <c r="H40" s="5" t="s">
        <v>13</v>
      </c>
      <c r="I40" s="5" t="s">
        <v>14</v>
      </c>
      <c r="J40" s="5">
        <v>0</v>
      </c>
      <c r="K40" s="5">
        <v>0</v>
      </c>
      <c r="L40" s="5" t="s">
        <v>106</v>
      </c>
      <c r="M40" s="5">
        <v>0</v>
      </c>
      <c r="N40" s="5">
        <v>0</v>
      </c>
      <c r="O40" s="5">
        <v>9999</v>
      </c>
      <c r="P40" s="5">
        <v>0</v>
      </c>
      <c r="Q40" s="5">
        <v>0</v>
      </c>
      <c r="R40" s="5" t="s">
        <v>54</v>
      </c>
      <c r="S40" s="5">
        <v>0</v>
      </c>
      <c r="T40" s="5">
        <v>1</v>
      </c>
      <c r="U40" s="5" t="s">
        <v>54</v>
      </c>
      <c r="V40" s="5">
        <v>0</v>
      </c>
      <c r="W40" s="5">
        <v>1</v>
      </c>
      <c r="X40" s="5" t="s">
        <v>54</v>
      </c>
      <c r="Y40" s="5">
        <v>0</v>
      </c>
      <c r="Z40" s="5">
        <v>1</v>
      </c>
      <c r="AA40" s="5" t="s">
        <v>54</v>
      </c>
      <c r="AB40" s="5">
        <v>0</v>
      </c>
      <c r="AC40" s="5">
        <v>1</v>
      </c>
      <c r="AD40" s="5" t="s">
        <v>54</v>
      </c>
      <c r="AE40" s="5">
        <v>0</v>
      </c>
      <c r="AF40" s="5">
        <v>1</v>
      </c>
      <c r="AG40" s="5" t="s">
        <v>54</v>
      </c>
      <c r="AH40" s="5">
        <v>0</v>
      </c>
      <c r="AI40" s="5">
        <v>1</v>
      </c>
      <c r="AJ40" s="5">
        <v>0</v>
      </c>
      <c r="AK40" s="5" t="s">
        <v>54</v>
      </c>
      <c r="AL40" s="5">
        <v>0</v>
      </c>
      <c r="AM40" s="5">
        <v>1</v>
      </c>
      <c r="AN40" s="5" t="s">
        <v>107</v>
      </c>
      <c r="AO40" s="5">
        <v>0</v>
      </c>
      <c r="AP40" s="5">
        <v>9999</v>
      </c>
      <c r="AQ40" s="5" t="s">
        <v>108</v>
      </c>
      <c r="AR40" s="4" t="str">
        <f t="shared" si="5"/>
        <v>BXX</v>
      </c>
      <c r="AS40" s="5" t="s">
        <v>14</v>
      </c>
      <c r="AT40" s="4" t="str">
        <f>$A$6&amp;".AO_YY"</f>
        <v>BXX_PLC1.AO_YY</v>
      </c>
      <c r="AU40" s="5" t="s">
        <v>14</v>
      </c>
      <c r="AV40" s="4" t="str">
        <f t="shared" si="6"/>
        <v>BXX Date - Year Setting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</row>
    <row r="41" spans="1:56" x14ac:dyDescent="0.25">
      <c r="A41" s="4" t="str">
        <f>$A$6&amp;"_F11_AI_CV"</f>
        <v>BXX_PLC1_F11_AI_CV</v>
      </c>
      <c r="B41" s="4" t="str">
        <f t="shared" si="4"/>
        <v>BXX_PLC1</v>
      </c>
      <c r="C41" s="4" t="str">
        <f>$A$5 &amp; " Major Fault Type"</f>
        <v>BXX Major Fault Type</v>
      </c>
      <c r="D41" s="2">
        <f t="shared" si="7"/>
        <v>20</v>
      </c>
      <c r="E41" s="5" t="s">
        <v>14</v>
      </c>
      <c r="F41" s="5" t="s">
        <v>14</v>
      </c>
      <c r="G41" s="5">
        <v>0</v>
      </c>
      <c r="H41" s="5" t="s">
        <v>13</v>
      </c>
      <c r="I41" s="5" t="s">
        <v>14</v>
      </c>
      <c r="J41" s="5">
        <v>0</v>
      </c>
      <c r="K41" s="5">
        <v>0</v>
      </c>
      <c r="M41" s="5">
        <v>0</v>
      </c>
      <c r="N41" s="5">
        <v>0</v>
      </c>
      <c r="O41" s="5">
        <v>1000</v>
      </c>
      <c r="P41" s="5">
        <v>0</v>
      </c>
      <c r="Q41" s="5">
        <v>0</v>
      </c>
      <c r="R41" s="5" t="s">
        <v>54</v>
      </c>
      <c r="S41" s="5">
        <v>0</v>
      </c>
      <c r="T41" s="5">
        <v>1</v>
      </c>
      <c r="U41" s="5" t="s">
        <v>54</v>
      </c>
      <c r="V41" s="5">
        <v>0</v>
      </c>
      <c r="W41" s="5">
        <v>1</v>
      </c>
      <c r="X41" s="5" t="s">
        <v>54</v>
      </c>
      <c r="Y41" s="5">
        <v>0</v>
      </c>
      <c r="Z41" s="5">
        <v>1</v>
      </c>
      <c r="AA41" s="5" t="s">
        <v>54</v>
      </c>
      <c r="AB41" s="5">
        <v>0</v>
      </c>
      <c r="AC41" s="5">
        <v>1</v>
      </c>
      <c r="AD41" s="5" t="s">
        <v>54</v>
      </c>
      <c r="AE41" s="5">
        <v>0</v>
      </c>
      <c r="AF41" s="5">
        <v>1</v>
      </c>
      <c r="AG41" s="5" t="s">
        <v>54</v>
      </c>
      <c r="AH41" s="5">
        <v>0</v>
      </c>
      <c r="AI41" s="5">
        <v>1</v>
      </c>
      <c r="AJ41" s="5">
        <v>0</v>
      </c>
      <c r="AK41" s="5" t="s">
        <v>54</v>
      </c>
      <c r="AL41" s="5">
        <v>0</v>
      </c>
      <c r="AM41" s="5">
        <v>1</v>
      </c>
      <c r="AN41" s="5" t="s">
        <v>107</v>
      </c>
      <c r="AO41" s="5">
        <v>0</v>
      </c>
      <c r="AP41" s="5">
        <v>1000</v>
      </c>
      <c r="AQ41" s="5" t="s">
        <v>108</v>
      </c>
      <c r="AR41" s="4" t="str">
        <f t="shared" si="5"/>
        <v>BXX</v>
      </c>
      <c r="AS41" s="5" t="s">
        <v>14</v>
      </c>
      <c r="AT41" s="4" t="str">
        <f>$A$6&amp;".MAJOR_FAULT_TYPE"</f>
        <v>BXX_PLC1.MAJOR_FAULT_TYPE</v>
      </c>
      <c r="AU41" s="5" t="s">
        <v>14</v>
      </c>
      <c r="AV41" s="4" t="str">
        <f t="shared" si="6"/>
        <v>BXX Major Fault Type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</row>
  </sheetData>
  <conditionalFormatting sqref="D24:D31 D2:D4 D6:D7 D9:D22">
    <cfRule type="cellIs" dxfId="372" priority="9" operator="greaterThan">
      <formula>49</formula>
    </cfRule>
  </conditionalFormatting>
  <conditionalFormatting sqref="D33:D36">
    <cfRule type="cellIs" dxfId="371" priority="8" operator="greaterThan">
      <formula>49</formula>
    </cfRule>
  </conditionalFormatting>
  <conditionalFormatting sqref="D40:D41">
    <cfRule type="cellIs" dxfId="370" priority="7" operator="greaterThan">
      <formula>49</formula>
    </cfRule>
  </conditionalFormatting>
  <conditionalFormatting sqref="D32">
    <cfRule type="cellIs" dxfId="369" priority="4" operator="greaterThan">
      <formula>49</formula>
    </cfRule>
  </conditionalFormatting>
  <conditionalFormatting sqref="D37:D39">
    <cfRule type="cellIs" dxfId="368" priority="3" operator="greaterThan">
      <formula>49</formula>
    </cfRule>
  </conditionalFormatting>
  <conditionalFormatting sqref="D23">
    <cfRule type="cellIs" dxfId="367" priority="2" operator="greaterThan">
      <formula>49</formula>
    </cfRule>
  </conditionalFormatting>
  <conditionalFormatting sqref="D5">
    <cfRule type="cellIs" dxfId="366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5"/>
  <sheetViews>
    <sheetView view="pageBreakPreview" topLeftCell="A49" zoomScaleNormal="115" zoomScaleSheetLayoutView="100" workbookViewId="0">
      <selection activeCell="K72" sqref="K72"/>
    </sheetView>
  </sheetViews>
  <sheetFormatPr defaultRowHeight="15" x14ac:dyDescent="0.25"/>
  <cols>
    <col min="1" max="1" width="24.28515625" bestFit="1" customWidth="1"/>
    <col min="2" max="2" width="14.5703125" bestFit="1" customWidth="1"/>
    <col min="3" max="3" width="41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2851562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71093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439</v>
      </c>
      <c r="B3" s="4" t="str">
        <f>BXXPLC1!A5</f>
        <v>BXX</v>
      </c>
      <c r="C3" s="3" t="s">
        <v>269</v>
      </c>
      <c r="D3" s="2">
        <f>LEN(C3)</f>
        <v>10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436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51</v>
      </c>
      <c r="O5" t="s">
        <v>52</v>
      </c>
      <c r="P5" t="s">
        <v>27</v>
      </c>
      <c r="Q5" t="s">
        <v>35</v>
      </c>
      <c r="R5" t="s">
        <v>53</v>
      </c>
    </row>
    <row r="6" spans="1:23" x14ac:dyDescent="0.25">
      <c r="A6" s="5" t="s">
        <v>425</v>
      </c>
      <c r="B6" t="s">
        <v>16</v>
      </c>
      <c r="C6" t="s">
        <v>17</v>
      </c>
      <c r="E6" t="s">
        <v>39</v>
      </c>
      <c r="F6" t="s">
        <v>18</v>
      </c>
      <c r="G6" t="s">
        <v>19</v>
      </c>
      <c r="H6" t="s">
        <v>40</v>
      </c>
      <c r="I6" t="s">
        <v>41</v>
      </c>
      <c r="J6" t="s">
        <v>42</v>
      </c>
      <c r="K6" t="s">
        <v>43</v>
      </c>
      <c r="L6" t="s">
        <v>44</v>
      </c>
      <c r="M6" t="s">
        <v>45</v>
      </c>
      <c r="N6" t="s">
        <v>46</v>
      </c>
      <c r="O6" t="s">
        <v>47</v>
      </c>
      <c r="P6" t="s">
        <v>48</v>
      </c>
      <c r="Q6" t="s">
        <v>49</v>
      </c>
      <c r="R6" t="s">
        <v>50</v>
      </c>
      <c r="S6" t="s">
        <v>51</v>
      </c>
      <c r="T6" t="s">
        <v>52</v>
      </c>
      <c r="U6" t="s">
        <v>27</v>
      </c>
      <c r="V6" t="s">
        <v>35</v>
      </c>
      <c r="W6" t="s">
        <v>53</v>
      </c>
    </row>
    <row r="7" spans="1:23" x14ac:dyDescent="0.25">
      <c r="A7" s="4" t="str">
        <f>$A$3&amp;"_DI_AD"</f>
        <v>BXX_SLP3_DM1_DI_AD</v>
      </c>
      <c r="B7" s="4" t="str">
        <f>A4</f>
        <v>BXX_DSAB</v>
      </c>
      <c r="C7" s="4" t="str">
        <f>$C$3 &amp; " Disabled Alarm"</f>
        <v>BXX Pump 3 Disabled Alarm</v>
      </c>
      <c r="D7" s="2">
        <f>LEN(C7)</f>
        <v>25</v>
      </c>
      <c r="E7" t="s">
        <v>14</v>
      </c>
      <c r="F7" t="s">
        <v>14</v>
      </c>
      <c r="G7">
        <v>0</v>
      </c>
      <c r="H7" t="s">
        <v>13</v>
      </c>
      <c r="I7" t="s">
        <v>54</v>
      </c>
      <c r="J7" t="s">
        <v>54</v>
      </c>
      <c r="K7" t="s">
        <v>61</v>
      </c>
      <c r="L7" t="s">
        <v>61</v>
      </c>
      <c r="M7" s="5">
        <v>98</v>
      </c>
      <c r="N7" t="s">
        <v>57</v>
      </c>
      <c r="O7" s="4" t="str">
        <f>BXXPLC1!C3</f>
        <v>BXX</v>
      </c>
      <c r="P7" t="s">
        <v>14</v>
      </c>
      <c r="Q7" s="4" t="str">
        <f>$A$3&amp;".DI_AD"</f>
        <v>BXX_SLP3_DM1.DI_AD</v>
      </c>
      <c r="R7" t="s">
        <v>14</v>
      </c>
      <c r="S7" s="4" t="str">
        <f t="shared" ref="S7:S52" si="0">C7</f>
        <v>BXX Pump 3 Disabled Alarm</v>
      </c>
      <c r="T7">
        <v>0</v>
      </c>
      <c r="U7">
        <v>0</v>
      </c>
    </row>
    <row r="8" spans="1:23" x14ac:dyDescent="0.25">
      <c r="A8" s="4" t="str">
        <f>$A$3&amp;"_DI_CL"</f>
        <v>BXX_SLP3_DM1_DI_CL</v>
      </c>
      <c r="B8" s="4" t="str">
        <f>$A$3</f>
        <v>BXX_SLP3_DM1</v>
      </c>
      <c r="C8" s="4" t="str">
        <f>$C$3&amp;" Control Mode"</f>
        <v>BXX Pump 3 Control Mode</v>
      </c>
      <c r="D8" s="2">
        <f t="shared" ref="D8:D52" si="1">LEN(C8)</f>
        <v>23</v>
      </c>
      <c r="E8" t="s">
        <v>14</v>
      </c>
      <c r="F8" t="s">
        <v>13</v>
      </c>
      <c r="G8" s="5">
        <v>700</v>
      </c>
      <c r="H8" t="s">
        <v>13</v>
      </c>
      <c r="I8" t="s">
        <v>54</v>
      </c>
      <c r="J8" t="s">
        <v>175</v>
      </c>
      <c r="K8" t="s">
        <v>66</v>
      </c>
      <c r="L8" t="s">
        <v>56</v>
      </c>
      <c r="M8">
        <v>1</v>
      </c>
      <c r="N8" t="s">
        <v>57</v>
      </c>
      <c r="O8" s="4" t="str">
        <f>$O$7</f>
        <v>BXX</v>
      </c>
      <c r="P8" t="s">
        <v>14</v>
      </c>
      <c r="Q8" s="4" t="str">
        <f>$A$3&amp;".DI_CL.eng"</f>
        <v>BXX_SLP3_DM1.DI_CL.eng</v>
      </c>
      <c r="R8" t="s">
        <v>14</v>
      </c>
      <c r="S8" s="4" t="str">
        <f t="shared" si="0"/>
        <v>BXX Pump 3 Control Mode</v>
      </c>
      <c r="T8">
        <v>0</v>
      </c>
      <c r="U8">
        <v>0</v>
      </c>
    </row>
    <row r="9" spans="1:23" x14ac:dyDescent="0.25">
      <c r="A9" s="4" t="str">
        <f>$A$3&amp;"_DI_SS"</f>
        <v>BXX_SLP3_DM1_DI_SS</v>
      </c>
      <c r="B9" s="4" t="str">
        <f t="shared" ref="B9:B52" si="2">$A$3</f>
        <v>BXX_SLP3_DM1</v>
      </c>
      <c r="C9" s="4" t="str">
        <f>$C$3&amp;" Running Status"</f>
        <v>BXX Pump 3 Running Status</v>
      </c>
      <c r="D9" s="2">
        <f t="shared" si="1"/>
        <v>25</v>
      </c>
      <c r="E9" t="s">
        <v>13</v>
      </c>
      <c r="F9" t="s">
        <v>13</v>
      </c>
      <c r="G9" s="5">
        <v>700</v>
      </c>
      <c r="H9" t="s">
        <v>13</v>
      </c>
      <c r="I9" t="s">
        <v>54</v>
      </c>
      <c r="J9" t="s">
        <v>176</v>
      </c>
      <c r="K9" t="s">
        <v>177</v>
      </c>
      <c r="L9" t="s">
        <v>56</v>
      </c>
      <c r="M9">
        <v>1</v>
      </c>
      <c r="N9" t="s">
        <v>57</v>
      </c>
      <c r="O9" s="4" t="str">
        <f t="shared" ref="O9:O34" si="3">$O$7</f>
        <v>BXX</v>
      </c>
      <c r="P9" t="s">
        <v>14</v>
      </c>
      <c r="Q9" s="4" t="str">
        <f>$A$3&amp;".DI_SS.eng"</f>
        <v>BXX_SLP3_DM1.DI_SS.eng</v>
      </c>
      <c r="R9" t="s">
        <v>14</v>
      </c>
      <c r="S9" s="4" t="str">
        <f t="shared" si="0"/>
        <v>BXX Pump 3 Running Status</v>
      </c>
      <c r="T9">
        <v>0</v>
      </c>
      <c r="U9">
        <v>0</v>
      </c>
    </row>
    <row r="10" spans="1:23" x14ac:dyDescent="0.25">
      <c r="A10" s="4" t="str">
        <f>$A$3&amp;"_DA_ES"</f>
        <v>BXX_SLP3_DM1_DA_ES</v>
      </c>
      <c r="B10" s="4" t="str">
        <f t="shared" si="2"/>
        <v>BXX_SLP3_DM1</v>
      </c>
      <c r="C10" s="4" t="str">
        <f>$C$3&amp;" E-Stop"</f>
        <v>BXX Pump 3 E-Stop</v>
      </c>
      <c r="D10" s="2">
        <f t="shared" si="1"/>
        <v>17</v>
      </c>
      <c r="E10" t="s">
        <v>14</v>
      </c>
      <c r="F10" t="s">
        <v>14</v>
      </c>
      <c r="G10">
        <v>0</v>
      </c>
      <c r="H10" t="s">
        <v>13</v>
      </c>
      <c r="I10" t="s">
        <v>54</v>
      </c>
      <c r="J10" t="s">
        <v>62</v>
      </c>
      <c r="K10" t="s">
        <v>119</v>
      </c>
      <c r="L10" t="s">
        <v>61</v>
      </c>
      <c r="M10" s="5">
        <v>50</v>
      </c>
      <c r="N10" t="s">
        <v>57</v>
      </c>
      <c r="O10" s="4" t="str">
        <f t="shared" si="3"/>
        <v>BXX</v>
      </c>
      <c r="P10" t="s">
        <v>14</v>
      </c>
      <c r="Q10" s="4" t="str">
        <f>$A$3&amp;".DA_ES.eng"</f>
        <v>BXX_SLP3_DM1.DA_ES.eng</v>
      </c>
      <c r="R10" t="s">
        <v>14</v>
      </c>
      <c r="S10" s="4" t="str">
        <f t="shared" si="0"/>
        <v>BXX Pump 3 E-Stop</v>
      </c>
      <c r="T10">
        <v>0</v>
      </c>
      <c r="U10">
        <v>0</v>
      </c>
    </row>
    <row r="11" spans="1:23" x14ac:dyDescent="0.25">
      <c r="A11" s="4" t="str">
        <f>$A$3&amp;"_DA_RA"</f>
        <v>BXX_SLP3_DM1_DA_RA</v>
      </c>
      <c r="B11" s="4" t="str">
        <f t="shared" si="2"/>
        <v>BXX_SLP3_DM1</v>
      </c>
      <c r="C11" s="4" t="str">
        <f>$C$3&amp;" Overload"</f>
        <v>BXX Pump 3 Overload</v>
      </c>
      <c r="D11" s="2">
        <f t="shared" si="1"/>
        <v>19</v>
      </c>
      <c r="E11" t="s">
        <v>14</v>
      </c>
      <c r="F11" t="s">
        <v>14</v>
      </c>
      <c r="G11">
        <v>0</v>
      </c>
      <c r="H11" t="s">
        <v>13</v>
      </c>
      <c r="I11" t="s">
        <v>54</v>
      </c>
      <c r="J11" t="s">
        <v>62</v>
      </c>
      <c r="K11" t="s">
        <v>119</v>
      </c>
      <c r="L11" t="s">
        <v>61</v>
      </c>
      <c r="M11" s="5">
        <v>63</v>
      </c>
      <c r="N11" t="s">
        <v>57</v>
      </c>
      <c r="O11" s="4" t="str">
        <f t="shared" si="3"/>
        <v>BXX</v>
      </c>
      <c r="P11" t="s">
        <v>14</v>
      </c>
      <c r="Q11" s="4" t="str">
        <f>$A$3&amp;".DA_RA.eng"</f>
        <v>BXX_SLP3_DM1.DA_RA.eng</v>
      </c>
      <c r="R11" t="s">
        <v>14</v>
      </c>
      <c r="S11" s="4" t="str">
        <f t="shared" si="0"/>
        <v>BXX Pump 3 Overload</v>
      </c>
      <c r="T11">
        <v>0</v>
      </c>
      <c r="U11">
        <v>0</v>
      </c>
    </row>
    <row r="12" spans="1:23" x14ac:dyDescent="0.25">
      <c r="A12" s="4" t="str">
        <f>$A$3&amp;"_DA_DF"</f>
        <v>BXX_SLP3_DM1_DA_DF</v>
      </c>
      <c r="B12" s="4" t="str">
        <f t="shared" si="2"/>
        <v>BXX_SLP3_DM1</v>
      </c>
      <c r="C12" s="4" t="str">
        <f>$C$3&amp;" Not Ready"</f>
        <v>BXX Pump 3 Not Ready</v>
      </c>
      <c r="D12" s="2">
        <f t="shared" si="1"/>
        <v>20</v>
      </c>
      <c r="E12" t="s">
        <v>14</v>
      </c>
      <c r="F12" t="s">
        <v>14</v>
      </c>
      <c r="G12">
        <v>0</v>
      </c>
      <c r="H12" t="s">
        <v>13</v>
      </c>
      <c r="I12" t="s">
        <v>54</v>
      </c>
      <c r="J12" t="s">
        <v>62</v>
      </c>
      <c r="K12" t="s">
        <v>178</v>
      </c>
      <c r="L12" t="s">
        <v>61</v>
      </c>
      <c r="M12" s="5">
        <v>55</v>
      </c>
      <c r="N12" t="s">
        <v>57</v>
      </c>
      <c r="O12" s="4" t="str">
        <f t="shared" si="3"/>
        <v>BXX</v>
      </c>
      <c r="P12" t="s">
        <v>14</v>
      </c>
      <c r="Q12" s="4" t="str">
        <f>$A$3&amp;".DA_DF.eng"</f>
        <v>BXX_SLP3_DM1.DA_DF.eng</v>
      </c>
      <c r="R12" t="s">
        <v>14</v>
      </c>
      <c r="S12" s="4" t="str">
        <f t="shared" si="0"/>
        <v>BXX Pump 3 Not Ready</v>
      </c>
      <c r="T12">
        <v>0</v>
      </c>
      <c r="U12">
        <v>0</v>
      </c>
    </row>
    <row r="13" spans="1:23" x14ac:dyDescent="0.25">
      <c r="A13" s="4" t="str">
        <f>$A$3&amp;"_DA_GA"</f>
        <v>BXX_SLP3_DM1_DA_GA</v>
      </c>
      <c r="B13" s="4" t="str">
        <f t="shared" si="2"/>
        <v>BXX_SLP3_DM1</v>
      </c>
      <c r="C13" s="4" t="str">
        <f>$C$3&amp;" Soft Starter Fault"</f>
        <v>BXX Pump 3 Soft Starter Fault</v>
      </c>
      <c r="D13" s="2">
        <f t="shared" si="1"/>
        <v>29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J13" t="s">
        <v>62</v>
      </c>
      <c r="K13" t="s">
        <v>119</v>
      </c>
      <c r="L13" t="s">
        <v>61</v>
      </c>
      <c r="M13" s="5">
        <v>55</v>
      </c>
      <c r="N13" t="s">
        <v>57</v>
      </c>
      <c r="O13" s="4" t="str">
        <f t="shared" si="3"/>
        <v>BXX</v>
      </c>
      <c r="P13" t="s">
        <v>14</v>
      </c>
      <c r="Q13" s="4" t="str">
        <f>$A$3&amp;".DA_GA.eng"</f>
        <v>BXX_SLP3_DM1.DA_GA.eng</v>
      </c>
      <c r="R13" t="s">
        <v>14</v>
      </c>
      <c r="S13" s="4" t="str">
        <f t="shared" si="0"/>
        <v>BXX Pump 3 Soft Starter Fault</v>
      </c>
      <c r="T13">
        <v>0</v>
      </c>
      <c r="U13">
        <v>0</v>
      </c>
    </row>
    <row r="14" spans="1:23" x14ac:dyDescent="0.25">
      <c r="A14" s="4" t="str">
        <f>$A$3&amp;"_DA_TA"</f>
        <v>BXX_SLP3_DM1_DA_TA</v>
      </c>
      <c r="B14" s="4" t="str">
        <f t="shared" si="2"/>
        <v>BXX_SLP3_DM1</v>
      </c>
      <c r="C14" s="4" t="str">
        <f>$C$3&amp;" Temp/Leak Alarm"</f>
        <v>BXX Pump 3 Temp/Leak Alarm</v>
      </c>
      <c r="D14" s="2">
        <f t="shared" si="1"/>
        <v>26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58</v>
      </c>
      <c r="N14" t="s">
        <v>57</v>
      </c>
      <c r="O14" s="4" t="str">
        <f t="shared" si="3"/>
        <v>BXX</v>
      </c>
      <c r="P14" t="s">
        <v>14</v>
      </c>
      <c r="Q14" s="4" t="str">
        <f>$A$3&amp;".DA_TA.eng"</f>
        <v>BXX_SLP3_DM1.DA_TA.eng</v>
      </c>
      <c r="R14" t="s">
        <v>14</v>
      </c>
      <c r="S14" s="4" t="str">
        <f t="shared" si="0"/>
        <v>BXX Pump 3 Temp/Leak Alarm</v>
      </c>
      <c r="T14">
        <v>0</v>
      </c>
      <c r="U14">
        <v>0</v>
      </c>
    </row>
    <row r="15" spans="1:23" x14ac:dyDescent="0.25">
      <c r="A15" s="4" t="str">
        <f>$A$3&amp;"_DI_AA"</f>
        <v>BXX_SLP3_DM1_DI_AA</v>
      </c>
      <c r="B15" s="4" t="str">
        <f t="shared" si="2"/>
        <v>BXX_SLP3_DM1</v>
      </c>
      <c r="C15" s="4" t="str">
        <f>$C$3&amp;" Auto Mode"</f>
        <v>BXX Pump 3 Auto Mode</v>
      </c>
      <c r="D15" s="2">
        <f t="shared" si="1"/>
        <v>20</v>
      </c>
      <c r="E15" t="s">
        <v>14</v>
      </c>
      <c r="F15" t="s">
        <v>13</v>
      </c>
      <c r="G15" s="5">
        <v>700</v>
      </c>
      <c r="H15" t="s">
        <v>13</v>
      </c>
      <c r="I15" t="s">
        <v>54</v>
      </c>
      <c r="J15" t="s">
        <v>179</v>
      </c>
      <c r="K15" t="s">
        <v>180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$A$3&amp;".DI_AA"</f>
        <v>BXX_SLP3_DM1.DI_AA</v>
      </c>
      <c r="R15" t="s">
        <v>14</v>
      </c>
      <c r="S15" s="4" t="str">
        <f t="shared" si="0"/>
        <v>BXX Pump 3 Auto Mode</v>
      </c>
      <c r="T15">
        <v>0</v>
      </c>
      <c r="U15">
        <v>0</v>
      </c>
    </row>
    <row r="16" spans="1:23" x14ac:dyDescent="0.25">
      <c r="A16" s="4" t="str">
        <f>$A$3&amp;"_DI_PM"</f>
        <v>BXX_SLP3_DM1_DI_PM</v>
      </c>
      <c r="B16" s="4" t="str">
        <f t="shared" si="2"/>
        <v>BXX_SLP3_DM1</v>
      </c>
      <c r="C16" s="4" t="str">
        <f>$C$3&amp;" Plant Manual Mode"</f>
        <v>BXX Pump 3 Plant Manual Mode</v>
      </c>
      <c r="D16" s="2">
        <f t="shared" si="1"/>
        <v>28</v>
      </c>
      <c r="E16" t="s">
        <v>14</v>
      </c>
      <c r="F16" t="s">
        <v>13</v>
      </c>
      <c r="G16" s="5">
        <v>700</v>
      </c>
      <c r="H16" t="s">
        <v>13</v>
      </c>
      <c r="I16" t="s">
        <v>54</v>
      </c>
      <c r="J16" t="s">
        <v>180</v>
      </c>
      <c r="K16" t="s">
        <v>179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$A$3&amp;".DI_PM"</f>
        <v>BXX_SLP3_DM1.DI_PM</v>
      </c>
      <c r="R16" t="s">
        <v>14</v>
      </c>
      <c r="S16" s="4" t="str">
        <f t="shared" si="0"/>
        <v>BXX Pump 3 Plant Manual Mode</v>
      </c>
      <c r="T16">
        <v>0</v>
      </c>
      <c r="U16">
        <v>0</v>
      </c>
    </row>
    <row r="17" spans="1:21" x14ac:dyDescent="0.25">
      <c r="A17" s="4" t="str">
        <f>$A$3&amp;"_PB_PM"</f>
        <v>BXX_SLP3_DM1_PB_PM</v>
      </c>
      <c r="B17" s="4" t="str">
        <f t="shared" si="2"/>
        <v>BXX_SLP3_DM1</v>
      </c>
      <c r="C17" s="4" t="str">
        <f>$C$3&amp;" Plant Manual Mode RQ"</f>
        <v>BXX Pump 3 Plant Manual Mode RQ</v>
      </c>
      <c r="D17" s="2">
        <f t="shared" si="1"/>
        <v>31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62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$A$3&amp;".PB_PM"</f>
        <v>BXX_SLP3_DM1.PB_PM</v>
      </c>
      <c r="R17" t="s">
        <v>14</v>
      </c>
      <c r="S17" s="4" t="str">
        <f t="shared" si="0"/>
        <v>BXX Pump 3 Plant Manual Mode RQ</v>
      </c>
      <c r="T17">
        <v>0</v>
      </c>
      <c r="U17">
        <v>0</v>
      </c>
    </row>
    <row r="18" spans="1:21" x14ac:dyDescent="0.25">
      <c r="A18" s="4" t="str">
        <f>$A$3&amp;"_PB_PT"</f>
        <v>BXX_SLP3_DM1_PB_PT</v>
      </c>
      <c r="B18" s="4" t="str">
        <f t="shared" si="2"/>
        <v>BXX_SLP3_DM1</v>
      </c>
      <c r="C18" s="4" t="str">
        <f>$C$3&amp;" Plant Manual Start"</f>
        <v>BXX Pump 3 Plant Manual Start</v>
      </c>
      <c r="D18" s="2">
        <f t="shared" si="1"/>
        <v>29</v>
      </c>
      <c r="E18" t="s">
        <v>14</v>
      </c>
      <c r="F18" t="s">
        <v>13</v>
      </c>
      <c r="G18" s="5">
        <v>600</v>
      </c>
      <c r="H18" t="s">
        <v>13</v>
      </c>
      <c r="I18" t="s">
        <v>54</v>
      </c>
      <c r="J18" t="s">
        <v>62</v>
      </c>
      <c r="K18" t="s">
        <v>181</v>
      </c>
      <c r="L18" t="s">
        <v>56</v>
      </c>
      <c r="M18">
        <v>1</v>
      </c>
      <c r="N18" t="s">
        <v>57</v>
      </c>
      <c r="O18" s="4" t="str">
        <f t="shared" si="3"/>
        <v>BXX</v>
      </c>
      <c r="P18" t="s">
        <v>14</v>
      </c>
      <c r="Q18" s="4" t="str">
        <f>$A$3&amp;".PB_PT"</f>
        <v>BXX_SLP3_DM1.PB_PT</v>
      </c>
      <c r="R18" t="s">
        <v>14</v>
      </c>
      <c r="S18" s="4" t="str">
        <f t="shared" si="0"/>
        <v>BXX Pump 3 Plant Manual Start</v>
      </c>
      <c r="T18">
        <v>0</v>
      </c>
      <c r="U18">
        <v>0</v>
      </c>
    </row>
    <row r="19" spans="1:21" x14ac:dyDescent="0.25">
      <c r="A19" s="4" t="str">
        <f>$A$3&amp;"_PB_PP"</f>
        <v>BXX_SLP3_DM1_PB_PP</v>
      </c>
      <c r="B19" s="4" t="str">
        <f t="shared" si="2"/>
        <v>BXX_SLP3_DM1</v>
      </c>
      <c r="C19" s="4" t="str">
        <f>$C$3&amp;" Plant Manual Stop"</f>
        <v>BXX Pump 3 Plant Manual Stop</v>
      </c>
      <c r="D19" s="2">
        <f t="shared" si="1"/>
        <v>28</v>
      </c>
      <c r="E19" t="s">
        <v>14</v>
      </c>
      <c r="F19" t="s">
        <v>13</v>
      </c>
      <c r="G19" s="5">
        <v>600</v>
      </c>
      <c r="H19" t="s">
        <v>13</v>
      </c>
      <c r="I19" t="s">
        <v>54</v>
      </c>
      <c r="J19" t="s">
        <v>62</v>
      </c>
      <c r="K19" t="s">
        <v>182</v>
      </c>
      <c r="L19" t="s">
        <v>56</v>
      </c>
      <c r="M19">
        <v>1</v>
      </c>
      <c r="N19" t="s">
        <v>57</v>
      </c>
      <c r="O19" s="4" t="str">
        <f t="shared" si="3"/>
        <v>BXX</v>
      </c>
      <c r="P19" t="s">
        <v>14</v>
      </c>
      <c r="Q19" s="4" t="str">
        <f>$A$3&amp;".PB_PP"</f>
        <v>BXX_SLP3_DM1.PB_PP</v>
      </c>
      <c r="R19" t="s">
        <v>14</v>
      </c>
      <c r="S19" s="4" t="str">
        <f t="shared" si="0"/>
        <v>BXX Pump 3 Plant Manual Stop</v>
      </c>
      <c r="T19">
        <v>0</v>
      </c>
      <c r="U19">
        <v>0</v>
      </c>
    </row>
    <row r="20" spans="1:21" x14ac:dyDescent="0.25">
      <c r="A20" s="4" t="str">
        <f>$A$3&amp;"_PB_AR"</f>
        <v>BXX_SLP3_DM1_PB_AR</v>
      </c>
      <c r="B20" s="4" t="str">
        <f t="shared" si="2"/>
        <v>BXX_SLP3_DM1</v>
      </c>
      <c r="C20" s="4" t="str">
        <f>$C$3&amp;" Alarm Ack"</f>
        <v>BXX Pump 3 Alarm Ack</v>
      </c>
      <c r="D20" s="2">
        <f t="shared" si="1"/>
        <v>20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62</v>
      </c>
      <c r="K20" t="s">
        <v>183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$A$3&amp;".PB_AR"</f>
        <v>BXX_SLP3_DM1.PB_AR</v>
      </c>
      <c r="R20" t="s">
        <v>14</v>
      </c>
      <c r="S20" s="4" t="str">
        <f t="shared" si="0"/>
        <v>BXX Pump 3 Alarm Ack</v>
      </c>
      <c r="T20">
        <v>0</v>
      </c>
      <c r="U20">
        <v>0</v>
      </c>
    </row>
    <row r="21" spans="1:21" x14ac:dyDescent="0.25">
      <c r="A21" s="4" t="str">
        <f>$A$3&amp;"_PB_RT"</f>
        <v>BXX_SLP3_DM1_PB_RT</v>
      </c>
      <c r="B21" s="4" t="str">
        <f t="shared" si="2"/>
        <v>BXX_SLP3_DM1</v>
      </c>
      <c r="C21" s="4" t="str">
        <f>$C$3&amp;" Runtime Reset"</f>
        <v>BXX Pump 3 Runtime Reset</v>
      </c>
      <c r="D21" s="2">
        <f t="shared" si="1"/>
        <v>24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62</v>
      </c>
      <c r="K21" t="s">
        <v>184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$A$3&amp;".PB_RT"</f>
        <v>BXX_SLP3_DM1.PB_RT</v>
      </c>
      <c r="R21" t="s">
        <v>14</v>
      </c>
      <c r="S21" s="4" t="str">
        <f t="shared" si="0"/>
        <v>BXX Pump 3 Runtime Reset</v>
      </c>
      <c r="T21">
        <v>0</v>
      </c>
      <c r="U21">
        <v>0</v>
      </c>
    </row>
    <row r="22" spans="1:21" x14ac:dyDescent="0.25">
      <c r="A22" s="4" t="str">
        <f>$A$3&amp;"_DA_SF"</f>
        <v>BXX_SLP3_DM1_DA_SF</v>
      </c>
      <c r="B22" s="4" t="str">
        <f t="shared" si="2"/>
        <v>BXX_SLP3_DM1</v>
      </c>
      <c r="C22" s="4" t="str">
        <f>$C$3&amp;" Failed To Start"</f>
        <v>BXX Pump 3 Failed To Start</v>
      </c>
      <c r="D22" s="2">
        <f t="shared" si="1"/>
        <v>26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62</v>
      </c>
      <c r="K22" t="s">
        <v>119</v>
      </c>
      <c r="L22" t="s">
        <v>61</v>
      </c>
      <c r="M22" s="5">
        <v>51</v>
      </c>
      <c r="N22" t="s">
        <v>57</v>
      </c>
      <c r="O22" s="4" t="str">
        <f t="shared" si="3"/>
        <v>BXX</v>
      </c>
      <c r="P22" t="s">
        <v>14</v>
      </c>
      <c r="Q22" s="4" t="str">
        <f>$A$3&amp;".DA_SF"</f>
        <v>BXX_SLP3_DM1.DA_SF</v>
      </c>
      <c r="R22" t="s">
        <v>14</v>
      </c>
      <c r="S22" s="4" t="str">
        <f t="shared" si="0"/>
        <v>BXX Pump 3 Failed To Start</v>
      </c>
      <c r="T22">
        <v>0</v>
      </c>
      <c r="U22">
        <v>0</v>
      </c>
    </row>
    <row r="23" spans="1:21" x14ac:dyDescent="0.25">
      <c r="A23" s="4" t="str">
        <f>$A$3&amp;"_DA_XF"</f>
        <v>BXX_SLP3_DM1_DA_XF</v>
      </c>
      <c r="B23" s="4" t="str">
        <f t="shared" si="2"/>
        <v>BXX_SLP3_DM1</v>
      </c>
      <c r="C23" s="4" t="str">
        <f>$C$3&amp;" Failed To Stop"</f>
        <v>BXX Pump 3 Failed To Stop</v>
      </c>
      <c r="D23" s="2">
        <f t="shared" si="1"/>
        <v>25</v>
      </c>
      <c r="E23" t="s">
        <v>14</v>
      </c>
      <c r="F23" t="s">
        <v>14</v>
      </c>
      <c r="G23">
        <v>0</v>
      </c>
      <c r="H23" t="s">
        <v>13</v>
      </c>
      <c r="I23" t="s">
        <v>54</v>
      </c>
      <c r="J23" t="s">
        <v>62</v>
      </c>
      <c r="K23" t="s">
        <v>119</v>
      </c>
      <c r="L23" t="s">
        <v>61</v>
      </c>
      <c r="M23" s="5">
        <v>52</v>
      </c>
      <c r="N23" t="s">
        <v>57</v>
      </c>
      <c r="O23" s="4" t="str">
        <f t="shared" si="3"/>
        <v>BXX</v>
      </c>
      <c r="P23" t="s">
        <v>14</v>
      </c>
      <c r="Q23" s="4" t="str">
        <f>$A$3&amp;".DA_XF"</f>
        <v>BXX_SLP3_DM1.DA_XF</v>
      </c>
      <c r="R23" t="s">
        <v>14</v>
      </c>
      <c r="S23" s="4" t="str">
        <f t="shared" si="0"/>
        <v>BXX Pump 3 Failed To Stop</v>
      </c>
      <c r="T23">
        <v>0</v>
      </c>
      <c r="U23">
        <v>0</v>
      </c>
    </row>
    <row r="24" spans="1:21" x14ac:dyDescent="0.25">
      <c r="A24" s="4" t="str">
        <f>$A$3&amp;"_DA_SU"</f>
        <v>BXX_SLP3_DM1_DA_SU</v>
      </c>
      <c r="B24" s="4" t="str">
        <f t="shared" si="2"/>
        <v>BXX_SLP3_DM1</v>
      </c>
      <c r="C24" s="4" t="str">
        <f>$C$3&amp;" Uncommanded Start"</f>
        <v>BXX Pump 3 Uncommanded Start</v>
      </c>
      <c r="D24" s="2">
        <f t="shared" si="1"/>
        <v>28</v>
      </c>
      <c r="E24" t="s">
        <v>14</v>
      </c>
      <c r="F24" t="s">
        <v>14</v>
      </c>
      <c r="G24">
        <v>0</v>
      </c>
      <c r="H24" t="s">
        <v>13</v>
      </c>
      <c r="I24" t="s">
        <v>54</v>
      </c>
      <c r="J24" t="s">
        <v>62</v>
      </c>
      <c r="K24" t="s">
        <v>119</v>
      </c>
      <c r="L24" t="s">
        <v>61</v>
      </c>
      <c r="M24" s="5">
        <v>53</v>
      </c>
      <c r="N24" t="s">
        <v>57</v>
      </c>
      <c r="O24" s="4" t="str">
        <f t="shared" si="3"/>
        <v>BXX</v>
      </c>
      <c r="P24" t="s">
        <v>14</v>
      </c>
      <c r="Q24" s="4" t="str">
        <f>$A$3&amp;".DA_SU"</f>
        <v>BXX_SLP3_DM1.DA_SU</v>
      </c>
      <c r="R24" t="s">
        <v>14</v>
      </c>
      <c r="S24" s="4" t="str">
        <f t="shared" si="0"/>
        <v>BXX Pump 3 Uncommanded Start</v>
      </c>
      <c r="T24">
        <v>0</v>
      </c>
      <c r="U24">
        <v>0</v>
      </c>
    </row>
    <row r="25" spans="1:21" x14ac:dyDescent="0.25">
      <c r="A25" s="4" t="str">
        <f>$A$3&amp;"_DA_XU"</f>
        <v>BXX_SLP3_DM1_DA_XU</v>
      </c>
      <c r="B25" s="4" t="str">
        <f t="shared" si="2"/>
        <v>BXX_SLP3_DM1</v>
      </c>
      <c r="C25" s="4" t="str">
        <f>$C$3&amp;" Uncommanded Stop"</f>
        <v>BXX Pump 3 Uncommanded Stop</v>
      </c>
      <c r="D25" s="2">
        <f t="shared" si="1"/>
        <v>27</v>
      </c>
      <c r="E25" t="s">
        <v>14</v>
      </c>
      <c r="F25" t="s">
        <v>14</v>
      </c>
      <c r="G25">
        <v>0</v>
      </c>
      <c r="H25" t="s">
        <v>13</v>
      </c>
      <c r="I25" t="s">
        <v>54</v>
      </c>
      <c r="J25" t="s">
        <v>62</v>
      </c>
      <c r="K25" t="s">
        <v>119</v>
      </c>
      <c r="L25" t="s">
        <v>61</v>
      </c>
      <c r="M25" s="5">
        <v>54</v>
      </c>
      <c r="N25" t="s">
        <v>57</v>
      </c>
      <c r="O25" s="4" t="str">
        <f t="shared" si="3"/>
        <v>BXX</v>
      </c>
      <c r="P25" t="s">
        <v>14</v>
      </c>
      <c r="Q25" s="4" t="str">
        <f>$A$3&amp;".DA_XU"</f>
        <v>BXX_SLP3_DM1.DA_XU</v>
      </c>
      <c r="R25" t="s">
        <v>14</v>
      </c>
      <c r="S25" s="4" t="str">
        <f t="shared" si="0"/>
        <v>BXX Pump 3 Uncommanded Stop</v>
      </c>
      <c r="T25">
        <v>0</v>
      </c>
      <c r="U25">
        <v>0</v>
      </c>
    </row>
    <row r="26" spans="1:21" x14ac:dyDescent="0.25">
      <c r="A26" s="4" t="str">
        <f>$A$3&amp;"_DI_BP"</f>
        <v>BXX_SLP3_DM1_DI_BP</v>
      </c>
      <c r="B26" s="4" t="str">
        <f t="shared" si="2"/>
        <v>BXX_SLP3_DM1</v>
      </c>
      <c r="C26" s="4" t="str">
        <f>$C$3&amp;" Bypass Mode"</f>
        <v>BXX Pump 3 Bypass Mode</v>
      </c>
      <c r="D26" s="2">
        <f t="shared" si="1"/>
        <v>22</v>
      </c>
      <c r="E26" t="s">
        <v>14</v>
      </c>
      <c r="F26" t="s">
        <v>13</v>
      </c>
      <c r="G26" s="5">
        <v>700</v>
      </c>
      <c r="H26" t="s">
        <v>13</v>
      </c>
      <c r="I26" t="s">
        <v>54</v>
      </c>
      <c r="J26" t="s">
        <v>62</v>
      </c>
      <c r="K26" t="s">
        <v>185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$A$3&amp;".DI_BP.eng"</f>
        <v>BXX_SLP3_DM1.DI_BP.eng</v>
      </c>
      <c r="R26" t="s">
        <v>14</v>
      </c>
      <c r="S26" s="4" t="str">
        <f t="shared" si="0"/>
        <v>BXX Pump 3 Bypass Mode</v>
      </c>
      <c r="T26">
        <v>0</v>
      </c>
      <c r="U26">
        <v>0</v>
      </c>
    </row>
    <row r="27" spans="1:21" x14ac:dyDescent="0.25">
      <c r="A27" s="4" t="str">
        <f>$A$3&amp;"_DI_ST"</f>
        <v>BXX_SLP3_DM1_DI_ST</v>
      </c>
      <c r="B27" s="4" t="str">
        <f t="shared" si="2"/>
        <v>BXX_SLP3_DM1</v>
      </c>
      <c r="C27" s="4" t="str">
        <f>$C$3&amp;" Hardwired Start"</f>
        <v>BXX Pump 3 Hardwired Start</v>
      </c>
      <c r="D27" s="2">
        <f t="shared" si="1"/>
        <v>26</v>
      </c>
      <c r="E27" t="s">
        <v>14</v>
      </c>
      <c r="F27" t="s">
        <v>13</v>
      </c>
      <c r="G27" s="5">
        <v>700</v>
      </c>
      <c r="H27" t="s">
        <v>13</v>
      </c>
      <c r="I27" t="s">
        <v>54</v>
      </c>
      <c r="J27" t="s">
        <v>62</v>
      </c>
      <c r="K27" t="s">
        <v>61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$A$3&amp;".DI_ST.eng"</f>
        <v>BXX_SLP3_DM1.DI_ST.eng</v>
      </c>
      <c r="R27" t="s">
        <v>14</v>
      </c>
      <c r="S27" s="4" t="str">
        <f t="shared" si="0"/>
        <v>BXX Pump 3 Hardwired Start</v>
      </c>
      <c r="T27">
        <v>0</v>
      </c>
      <c r="U27">
        <v>0</v>
      </c>
    </row>
    <row r="28" spans="1:21" x14ac:dyDescent="0.25">
      <c r="A28" s="4" t="str">
        <f>$A$3&amp;"_DI_SP"</f>
        <v>BXX_SLP3_DM1_DI_SP</v>
      </c>
      <c r="B28" s="4" t="str">
        <f t="shared" si="2"/>
        <v>BXX_SLP3_DM1</v>
      </c>
      <c r="C28" s="4" t="str">
        <f>$C$3&amp;" Hardwired Stop"</f>
        <v>BXX Pump 3 Hardwired Stop</v>
      </c>
      <c r="D28" s="2">
        <f t="shared" si="1"/>
        <v>25</v>
      </c>
      <c r="E28" t="s">
        <v>14</v>
      </c>
      <c r="F28" t="s">
        <v>13</v>
      </c>
      <c r="G28" s="5">
        <v>700</v>
      </c>
      <c r="H28" t="s">
        <v>13</v>
      </c>
      <c r="I28" t="s">
        <v>54</v>
      </c>
      <c r="J28" t="s">
        <v>62</v>
      </c>
      <c r="K28" t="s">
        <v>61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$A$3&amp;".DI_SP.eng"</f>
        <v>BXX_SLP3_DM1.DI_SP.eng</v>
      </c>
      <c r="R28" t="s">
        <v>14</v>
      </c>
      <c r="S28" s="4" t="str">
        <f t="shared" si="0"/>
        <v>BXX Pump 3 Hardwired Stop</v>
      </c>
      <c r="T28">
        <v>0</v>
      </c>
      <c r="U28">
        <v>0</v>
      </c>
    </row>
    <row r="29" spans="1:21" x14ac:dyDescent="0.25">
      <c r="A29" s="4" t="str">
        <f>$A$3&amp;"_PB_SU"</f>
        <v>BXX_SLP3_DM1_PB_SU</v>
      </c>
      <c r="B29" s="4" t="str">
        <f t="shared" si="2"/>
        <v>BXX_SLP3_DM1</v>
      </c>
      <c r="C29" s="4" t="str">
        <f>$C$3&amp;" Uncomm Start Alarm En"</f>
        <v>BXX Pump 3 Uncomm Start Alarm En</v>
      </c>
      <c r="D29" s="2">
        <f t="shared" si="1"/>
        <v>32</v>
      </c>
      <c r="E29" t="s">
        <v>14</v>
      </c>
      <c r="F29" t="s">
        <v>13</v>
      </c>
      <c r="G29" s="5">
        <v>600</v>
      </c>
      <c r="H29" t="s">
        <v>13</v>
      </c>
      <c r="I29" t="s">
        <v>54</v>
      </c>
      <c r="J29" t="s">
        <v>60</v>
      </c>
      <c r="K29" t="s">
        <v>59</v>
      </c>
      <c r="L29" t="s">
        <v>56</v>
      </c>
      <c r="M29" s="5">
        <v>1</v>
      </c>
      <c r="N29" t="s">
        <v>57</v>
      </c>
      <c r="O29" s="4" t="str">
        <f t="shared" si="3"/>
        <v>BXX</v>
      </c>
      <c r="P29" t="s">
        <v>14</v>
      </c>
      <c r="Q29" s="4" t="str">
        <f>$A$3&amp;".PB_SU.RE"</f>
        <v>BXX_SLP3_DM1.PB_SU.RE</v>
      </c>
      <c r="R29" t="s">
        <v>14</v>
      </c>
      <c r="S29" s="4" t="str">
        <f t="shared" si="0"/>
        <v>BXX Pump 3 Uncomm Start Alarm En</v>
      </c>
      <c r="T29">
        <v>0</v>
      </c>
      <c r="U29">
        <v>0</v>
      </c>
    </row>
    <row r="30" spans="1:21" x14ac:dyDescent="0.25">
      <c r="A30" s="4" t="str">
        <f>$A$3&amp;"_PB_SF"</f>
        <v>BXX_SLP3_DM1_PB_SF</v>
      </c>
      <c r="B30" s="4" t="str">
        <f t="shared" si="2"/>
        <v>BXX_SLP3_DM1</v>
      </c>
      <c r="C30" s="4" t="str">
        <f>$C$3&amp;" Failed To Start Alarm En"</f>
        <v>BXX Pump 3 Failed To Start Alarm En</v>
      </c>
      <c r="D30" s="2">
        <f t="shared" si="1"/>
        <v>35</v>
      </c>
      <c r="E30" t="s">
        <v>14</v>
      </c>
      <c r="F30" t="s">
        <v>13</v>
      </c>
      <c r="G30" s="5">
        <v>600</v>
      </c>
      <c r="H30" t="s">
        <v>13</v>
      </c>
      <c r="I30" t="s">
        <v>54</v>
      </c>
      <c r="J30" t="s">
        <v>60</v>
      </c>
      <c r="K30" t="s">
        <v>59</v>
      </c>
      <c r="L30" t="s">
        <v>56</v>
      </c>
      <c r="M30" s="5">
        <v>1</v>
      </c>
      <c r="N30" t="s">
        <v>57</v>
      </c>
      <c r="O30" s="4" t="str">
        <f t="shared" si="3"/>
        <v>BXX</v>
      </c>
      <c r="P30" t="s">
        <v>14</v>
      </c>
      <c r="Q30" s="4" t="str">
        <f>$A$3&amp;".PB_SF.RE"</f>
        <v>BXX_SLP3_DM1.PB_SF.RE</v>
      </c>
      <c r="R30" t="s">
        <v>14</v>
      </c>
      <c r="S30" s="4" t="str">
        <f t="shared" si="0"/>
        <v>BXX Pump 3 Failed To Start Alarm En</v>
      </c>
      <c r="T30">
        <v>0</v>
      </c>
      <c r="U30">
        <v>0</v>
      </c>
    </row>
    <row r="31" spans="1:21" x14ac:dyDescent="0.25">
      <c r="A31" s="4" t="str">
        <f>$A$3&amp;"_PB_XF"</f>
        <v>BXX_SLP3_DM1_PB_XF</v>
      </c>
      <c r="B31" s="4" t="str">
        <f t="shared" si="2"/>
        <v>BXX_SLP3_DM1</v>
      </c>
      <c r="C31" s="4" t="str">
        <f>$C$3&amp;" Failed To Stop Alarm En"</f>
        <v>BXX Pump 3 Failed To Stop Alarm En</v>
      </c>
      <c r="D31" s="2">
        <f t="shared" si="1"/>
        <v>34</v>
      </c>
      <c r="E31" t="s">
        <v>14</v>
      </c>
      <c r="F31" t="s">
        <v>13</v>
      </c>
      <c r="G31" s="5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 s="5">
        <v>1</v>
      </c>
      <c r="N31" t="s">
        <v>57</v>
      </c>
      <c r="O31" s="4" t="str">
        <f t="shared" si="3"/>
        <v>BXX</v>
      </c>
      <c r="P31" t="s">
        <v>14</v>
      </c>
      <c r="Q31" s="4" t="str">
        <f>$A$3&amp;".PB_XF.RE"</f>
        <v>BXX_SLP3_DM1.PB_XF.RE</v>
      </c>
      <c r="R31" t="s">
        <v>14</v>
      </c>
      <c r="S31" s="4" t="str">
        <f t="shared" si="0"/>
        <v>BXX Pump 3 Failed To Stop Alarm En</v>
      </c>
      <c r="T31">
        <v>0</v>
      </c>
      <c r="U31">
        <v>0</v>
      </c>
    </row>
    <row r="32" spans="1:21" x14ac:dyDescent="0.25">
      <c r="A32" s="4" t="str">
        <f>$A$3&amp;"_PB_XU"</f>
        <v>BXX_SLP3_DM1_PB_XU</v>
      </c>
      <c r="B32" s="4" t="str">
        <f t="shared" si="2"/>
        <v>BXX_SLP3_DM1</v>
      </c>
      <c r="C32" s="4" t="str">
        <f>$C$3&amp;" Uncomm. Stop Alarm En"</f>
        <v>BXX Pump 3 Uncomm. Stop Alarm En</v>
      </c>
      <c r="D32" s="2">
        <f t="shared" si="1"/>
        <v>32</v>
      </c>
      <c r="E32" t="s">
        <v>14</v>
      </c>
      <c r="F32" t="s">
        <v>13</v>
      </c>
      <c r="G32" s="5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 s="5">
        <v>1</v>
      </c>
      <c r="N32" t="s">
        <v>57</v>
      </c>
      <c r="O32" s="4" t="str">
        <f t="shared" si="3"/>
        <v>BXX</v>
      </c>
      <c r="P32" t="s">
        <v>14</v>
      </c>
      <c r="Q32" s="4" t="str">
        <f>$A$3&amp;".PB_XU.RE"</f>
        <v>BXX_SLP3_DM1.PB_XU.RE</v>
      </c>
      <c r="R32" t="s">
        <v>14</v>
      </c>
      <c r="S32" s="4" t="str">
        <f t="shared" si="0"/>
        <v>BXX Pump 3 Uncomm. Stop Alarm En</v>
      </c>
      <c r="T32">
        <v>0</v>
      </c>
      <c r="U32">
        <v>0</v>
      </c>
    </row>
    <row r="33" spans="1:21" x14ac:dyDescent="0.25">
      <c r="A33" s="4" t="str">
        <f>$A$3&amp;"_PB_SM"</f>
        <v>BXX_SLP3_DM1_PB_SM</v>
      </c>
      <c r="B33" s="4" t="str">
        <f t="shared" si="2"/>
        <v>BXX_SLP3_DM1</v>
      </c>
      <c r="C33" s="4" t="str">
        <f>$C$3&amp;" Simulate Alarms PB"</f>
        <v>BXX Pump 3 Simulate Alarms PB</v>
      </c>
      <c r="D33" s="2">
        <f t="shared" si="1"/>
        <v>29</v>
      </c>
      <c r="E33" t="s">
        <v>14</v>
      </c>
      <c r="F33" t="s">
        <v>13</v>
      </c>
      <c r="G33" s="5">
        <v>600</v>
      </c>
      <c r="H33" t="s">
        <v>13</v>
      </c>
      <c r="I33" t="s">
        <v>54</v>
      </c>
      <c r="J33" t="s">
        <v>54</v>
      </c>
      <c r="K33" t="s">
        <v>61</v>
      </c>
      <c r="L33" t="s">
        <v>56</v>
      </c>
      <c r="M33" s="5">
        <v>1</v>
      </c>
      <c r="N33" t="s">
        <v>57</v>
      </c>
      <c r="O33" s="4" t="str">
        <f t="shared" si="3"/>
        <v>BXX</v>
      </c>
      <c r="P33" t="s">
        <v>14</v>
      </c>
      <c r="Q33" s="4" t="str">
        <f>$A$3&amp;".PB_SM"</f>
        <v>BXX_SLP3_DM1.PB_SM</v>
      </c>
      <c r="R33" t="s">
        <v>14</v>
      </c>
      <c r="S33" s="4" t="str">
        <f t="shared" si="0"/>
        <v>BXX Pump 3 Simulate Alarms PB</v>
      </c>
      <c r="T33">
        <v>0</v>
      </c>
      <c r="U33">
        <v>0</v>
      </c>
    </row>
    <row r="34" spans="1:21" x14ac:dyDescent="0.25">
      <c r="A34" s="4" t="str">
        <f>$A$3&amp;"_PB_AE"</f>
        <v>BXX_SLP3_DM1_PB_AE</v>
      </c>
      <c r="B34" s="4" t="str">
        <f t="shared" si="2"/>
        <v>BXX_SLP3_DM1</v>
      </c>
      <c r="C34" s="4" t="str">
        <f>$C$3&amp;" Alarm Enable"</f>
        <v>BXX Pump 3 Alarm Enable</v>
      </c>
      <c r="D34" s="2">
        <f t="shared" si="1"/>
        <v>23</v>
      </c>
      <c r="E34" t="s">
        <v>14</v>
      </c>
      <c r="F34" t="s">
        <v>13</v>
      </c>
      <c r="G34" s="5">
        <v>600</v>
      </c>
      <c r="H34" t="s">
        <v>13</v>
      </c>
      <c r="I34" t="s">
        <v>54</v>
      </c>
      <c r="J34" t="s">
        <v>60</v>
      </c>
      <c r="K34" t="s">
        <v>59</v>
      </c>
      <c r="L34" t="s">
        <v>56</v>
      </c>
      <c r="M34">
        <v>1</v>
      </c>
      <c r="N34" t="s">
        <v>57</v>
      </c>
      <c r="O34" s="4" t="str">
        <f t="shared" si="3"/>
        <v>BXX</v>
      </c>
      <c r="P34" t="s">
        <v>14</v>
      </c>
      <c r="Q34" s="4" t="str">
        <f>$A$3&amp;".PB_AE.RE"</f>
        <v>BXX_SLP3_DM1.PB_AE.RE</v>
      </c>
      <c r="R34" t="s">
        <v>14</v>
      </c>
      <c r="S34" s="4" t="str">
        <f t="shared" si="0"/>
        <v>BXX Pump 3 Alarm Enable</v>
      </c>
      <c r="T34">
        <v>0</v>
      </c>
      <c r="U34">
        <v>0</v>
      </c>
    </row>
    <row r="35" spans="1:21" x14ac:dyDescent="0.25">
      <c r="A35" s="4" t="str">
        <f>$A$3&amp;"_PB_AE_DE"</f>
        <v>BXX_SLP3_DM1_PB_AE_DE</v>
      </c>
      <c r="B35" s="4" t="str">
        <f t="shared" si="2"/>
        <v>BXX_SLP3_DM1</v>
      </c>
      <c r="C35" s="4" t="str">
        <f>$C$3 &amp; " Alarms Dialer Enable"</f>
        <v>BXX Pump 3 Alarms Dialer Enable</v>
      </c>
      <c r="D35" s="2">
        <f t="shared" si="1"/>
        <v>31</v>
      </c>
      <c r="E35" t="s">
        <v>14</v>
      </c>
      <c r="F35" t="s">
        <v>13</v>
      </c>
      <c r="G35" s="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>
        <v>1</v>
      </c>
      <c r="N35" t="s">
        <v>57</v>
      </c>
      <c r="O35" s="4" t="str">
        <f t="shared" ref="O35:O36" si="4">$O$8</f>
        <v>BXX</v>
      </c>
      <c r="P35" t="s">
        <v>14</v>
      </c>
      <c r="Q35" s="4" t="str">
        <f>$A$3&amp;".PB_AE.DE"</f>
        <v>BXX_SLP3_DM1.PB_AE.DE</v>
      </c>
      <c r="R35" t="s">
        <v>14</v>
      </c>
      <c r="S35" s="4" t="str">
        <f t="shared" si="0"/>
        <v>BXX Pump 3 Alarms Dialer Enable</v>
      </c>
      <c r="T35">
        <v>0</v>
      </c>
      <c r="U35">
        <v>0</v>
      </c>
    </row>
    <row r="36" spans="1:21" x14ac:dyDescent="0.25">
      <c r="A36" s="4" t="str">
        <f>$A$3&amp;"_PB_AE_SR"</f>
        <v>BXX_SLP3_DM1_PB_AE_SR</v>
      </c>
      <c r="B36" s="4" t="str">
        <f t="shared" si="2"/>
        <v>BXX_SLP3_DM1</v>
      </c>
      <c r="C36" s="4" t="str">
        <f>$C$3 &amp; " Alarms Sup Enable"</f>
        <v>BXX Pump 3 Alarms Sup Enable</v>
      </c>
      <c r="D36" s="2">
        <f t="shared" si="1"/>
        <v>28</v>
      </c>
      <c r="E36" t="s">
        <v>14</v>
      </c>
      <c r="F36" t="s">
        <v>13</v>
      </c>
      <c r="G36" s="5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>
        <v>1</v>
      </c>
      <c r="N36" t="s">
        <v>57</v>
      </c>
      <c r="O36" s="4" t="str">
        <f t="shared" si="4"/>
        <v>BXX</v>
      </c>
      <c r="P36" t="s">
        <v>14</v>
      </c>
      <c r="Q36" s="4" t="str">
        <f>$A$3&amp;".PB_AE.SR"</f>
        <v>BXX_SLP3_DM1.PB_AE.SR</v>
      </c>
      <c r="R36" t="s">
        <v>14</v>
      </c>
      <c r="S36" s="4" t="str">
        <f t="shared" si="0"/>
        <v>BXX Pump 3 Alarms Sup Enable</v>
      </c>
      <c r="T36">
        <v>0</v>
      </c>
      <c r="U36">
        <v>0</v>
      </c>
    </row>
    <row r="37" spans="1:21" x14ac:dyDescent="0.25">
      <c r="A37" s="4" t="str">
        <f>$A$3&amp;"_PB_ES_RE"</f>
        <v>BXX_SLP3_DM1_PB_ES_RE</v>
      </c>
      <c r="B37" s="4" t="str">
        <f t="shared" si="2"/>
        <v>BXX_SLP3_DM1</v>
      </c>
      <c r="C37" s="4" t="str">
        <f>$C$3&amp;" E-Stop Enable"</f>
        <v>BXX Pump 3 E-Stop Enable</v>
      </c>
      <c r="D37" s="2">
        <f t="shared" si="1"/>
        <v>24</v>
      </c>
      <c r="E37" t="s">
        <v>14</v>
      </c>
      <c r="F37" t="s">
        <v>13</v>
      </c>
      <c r="G37" s="5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>
        <v>1</v>
      </c>
      <c r="N37" t="s">
        <v>57</v>
      </c>
      <c r="O37" s="4" t="str">
        <f t="shared" ref="O37:O52" si="5">$O$7</f>
        <v>BXX</v>
      </c>
      <c r="P37" t="s">
        <v>14</v>
      </c>
      <c r="Q37" s="4" t="str">
        <f>$A$3&amp;".DA_ES.RE"</f>
        <v>BXX_SLP3_DM1.DA_ES.RE</v>
      </c>
      <c r="R37" t="s">
        <v>14</v>
      </c>
      <c r="S37" s="4" t="str">
        <f t="shared" si="0"/>
        <v>BXX Pump 3 E-Stop Enable</v>
      </c>
      <c r="T37">
        <v>0</v>
      </c>
      <c r="U37">
        <v>0</v>
      </c>
    </row>
    <row r="38" spans="1:21" x14ac:dyDescent="0.25">
      <c r="A38" s="4" t="str">
        <f>$A$3&amp;"_PB_RA_RE"</f>
        <v>BXX_SLP3_DM1_PB_RA_RE</v>
      </c>
      <c r="B38" s="4" t="str">
        <f t="shared" si="2"/>
        <v>BXX_SLP3_DM1</v>
      </c>
      <c r="C38" s="4" t="str">
        <f>$C$3&amp;" Overload Enable"</f>
        <v>BXX Pump 3 Overload Enable</v>
      </c>
      <c r="D38" s="2">
        <f t="shared" si="1"/>
        <v>26</v>
      </c>
      <c r="E38" t="s">
        <v>14</v>
      </c>
      <c r="F38" t="s">
        <v>13</v>
      </c>
      <c r="G38" s="5">
        <v>600</v>
      </c>
      <c r="H38" t="s">
        <v>13</v>
      </c>
      <c r="I38" t="s">
        <v>54</v>
      </c>
      <c r="J38" t="s">
        <v>60</v>
      </c>
      <c r="K38" t="s">
        <v>59</v>
      </c>
      <c r="L38" t="s">
        <v>56</v>
      </c>
      <c r="M38">
        <v>1</v>
      </c>
      <c r="N38" t="s">
        <v>57</v>
      </c>
      <c r="O38" s="4" t="str">
        <f t="shared" si="5"/>
        <v>BXX</v>
      </c>
      <c r="P38" t="s">
        <v>14</v>
      </c>
      <c r="Q38" s="4" t="str">
        <f>$A$3&amp;".DA_RA.RE"</f>
        <v>BXX_SLP3_DM1.DA_RA.RE</v>
      </c>
      <c r="R38" t="s">
        <v>14</v>
      </c>
      <c r="S38" s="4" t="str">
        <f t="shared" si="0"/>
        <v>BXX Pump 3 Overload Enable</v>
      </c>
      <c r="T38">
        <v>0</v>
      </c>
      <c r="U38">
        <v>0</v>
      </c>
    </row>
    <row r="39" spans="1:21" x14ac:dyDescent="0.25">
      <c r="A39" s="4" t="str">
        <f>$A$3&amp;"_PB_DF_RE"</f>
        <v>BXX_SLP3_DM1_PB_DF_RE</v>
      </c>
      <c r="B39" s="4" t="str">
        <f t="shared" si="2"/>
        <v>BXX_SLP3_DM1</v>
      </c>
      <c r="C39" s="4" t="str">
        <f>$C$3&amp;" Not Ready Enable"</f>
        <v>BXX Pump 3 Not Ready Enable</v>
      </c>
      <c r="D39" s="2">
        <f t="shared" si="1"/>
        <v>27</v>
      </c>
      <c r="E39" t="s">
        <v>14</v>
      </c>
      <c r="F39" t="s">
        <v>13</v>
      </c>
      <c r="G39" s="5">
        <v>600</v>
      </c>
      <c r="H39" t="s">
        <v>13</v>
      </c>
      <c r="I39" t="s">
        <v>54</v>
      </c>
      <c r="J39" t="s">
        <v>60</v>
      </c>
      <c r="K39" t="s">
        <v>59</v>
      </c>
      <c r="L39" t="s">
        <v>56</v>
      </c>
      <c r="M39">
        <v>1</v>
      </c>
      <c r="N39" t="s">
        <v>57</v>
      </c>
      <c r="O39" s="4" t="str">
        <f t="shared" si="5"/>
        <v>BXX</v>
      </c>
      <c r="P39" t="s">
        <v>14</v>
      </c>
      <c r="Q39" s="4" t="str">
        <f>$A$3&amp;".DA_DF.RE"</f>
        <v>BXX_SLP3_DM1.DA_DF.RE</v>
      </c>
      <c r="R39" t="s">
        <v>14</v>
      </c>
      <c r="S39" s="4" t="str">
        <f t="shared" si="0"/>
        <v>BXX Pump 3 Not Ready Enable</v>
      </c>
      <c r="T39">
        <v>0</v>
      </c>
      <c r="U39">
        <v>0</v>
      </c>
    </row>
    <row r="40" spans="1:21" x14ac:dyDescent="0.25">
      <c r="A40" s="4" t="str">
        <f>$A$3&amp;"_PB_GA_RE"</f>
        <v>BXX_SLP3_DM1_PB_GA_RE</v>
      </c>
      <c r="B40" s="4" t="str">
        <f t="shared" si="2"/>
        <v>BXX_SLP3_DM1</v>
      </c>
      <c r="C40" s="4" t="str">
        <f>$C$3&amp;" Soft Starter Fault Enable"</f>
        <v>BXX Pump 3 Soft Starter Fault Enable</v>
      </c>
      <c r="D40" s="2">
        <f t="shared" si="1"/>
        <v>36</v>
      </c>
      <c r="E40" t="s">
        <v>14</v>
      </c>
      <c r="F40" t="s">
        <v>13</v>
      </c>
      <c r="G40" s="5">
        <v>600</v>
      </c>
      <c r="H40" t="s">
        <v>13</v>
      </c>
      <c r="I40" t="s">
        <v>54</v>
      </c>
      <c r="J40" t="s">
        <v>60</v>
      </c>
      <c r="K40" t="s">
        <v>59</v>
      </c>
      <c r="L40" t="s">
        <v>56</v>
      </c>
      <c r="M40">
        <v>1</v>
      </c>
      <c r="N40" t="s">
        <v>57</v>
      </c>
      <c r="O40" s="4" t="str">
        <f t="shared" si="5"/>
        <v>BXX</v>
      </c>
      <c r="P40" t="s">
        <v>14</v>
      </c>
      <c r="Q40" s="4" t="str">
        <f>$A$3&amp;".DA_GA.RE"</f>
        <v>BXX_SLP3_DM1.DA_GA.RE</v>
      </c>
      <c r="R40" t="s">
        <v>14</v>
      </c>
      <c r="S40" s="4" t="str">
        <f t="shared" si="0"/>
        <v>BXX Pump 3 Soft Starter Fault Enable</v>
      </c>
      <c r="T40">
        <v>0</v>
      </c>
      <c r="U40">
        <v>0</v>
      </c>
    </row>
    <row r="41" spans="1:21" x14ac:dyDescent="0.25">
      <c r="A41" s="4" t="str">
        <f>$A$3&amp;"_PB_TA_RE"</f>
        <v>BXX_SLP3_DM1_PB_TA_RE</v>
      </c>
      <c r="B41" s="4" t="str">
        <f t="shared" si="2"/>
        <v>BXX_SLP3_DM1</v>
      </c>
      <c r="C41" s="4" t="str">
        <f>$C$3&amp;" Temp/Leak Alarm Enable"</f>
        <v>BXX Pump 3 Temp/Leak Alarm Enable</v>
      </c>
      <c r="D41" s="2">
        <f t="shared" si="1"/>
        <v>33</v>
      </c>
      <c r="E41" t="s">
        <v>14</v>
      </c>
      <c r="F41" t="s">
        <v>13</v>
      </c>
      <c r="G41" s="5">
        <v>600</v>
      </c>
      <c r="H41" t="s">
        <v>13</v>
      </c>
      <c r="I41" t="s">
        <v>54</v>
      </c>
      <c r="J41" t="s">
        <v>60</v>
      </c>
      <c r="K41" t="s">
        <v>59</v>
      </c>
      <c r="L41" t="s">
        <v>56</v>
      </c>
      <c r="M41">
        <v>1</v>
      </c>
      <c r="N41" t="s">
        <v>57</v>
      </c>
      <c r="O41" s="4" t="str">
        <f t="shared" si="5"/>
        <v>BXX</v>
      </c>
      <c r="P41" t="s">
        <v>14</v>
      </c>
      <c r="Q41" s="4" t="str">
        <f>$A$3&amp;".DA_TA.RE"</f>
        <v>BXX_SLP3_DM1.DA_TA.RE</v>
      </c>
      <c r="R41" t="s">
        <v>14</v>
      </c>
      <c r="S41" s="4" t="str">
        <f t="shared" si="0"/>
        <v>BXX Pump 3 Temp/Leak Alarm Enable</v>
      </c>
      <c r="T41">
        <v>0</v>
      </c>
      <c r="U41">
        <v>0</v>
      </c>
    </row>
    <row r="42" spans="1:21" x14ac:dyDescent="0.25">
      <c r="A42" s="4" t="str">
        <f>$A$3&amp;"_PB_ES_DE"</f>
        <v>BXX_SLP3_DM1_PB_ES_DE</v>
      </c>
      <c r="B42" s="4" t="str">
        <f t="shared" si="2"/>
        <v>BXX_SLP3_DM1</v>
      </c>
      <c r="C42" s="4" t="str">
        <f>$C$3&amp;" E-Stop Dialer Enable"</f>
        <v>BXX Pump 3 E-Stop Dialer Enable</v>
      </c>
      <c r="D42" s="2">
        <f t="shared" si="1"/>
        <v>31</v>
      </c>
      <c r="E42" t="s">
        <v>14</v>
      </c>
      <c r="F42" t="s">
        <v>13</v>
      </c>
      <c r="G42" s="5">
        <v>600</v>
      </c>
      <c r="H42" t="s">
        <v>13</v>
      </c>
      <c r="I42" t="s">
        <v>54</v>
      </c>
      <c r="J42" t="s">
        <v>60</v>
      </c>
      <c r="K42" t="s">
        <v>59</v>
      </c>
      <c r="L42" t="s">
        <v>56</v>
      </c>
      <c r="M42">
        <v>1</v>
      </c>
      <c r="N42" t="s">
        <v>57</v>
      </c>
      <c r="O42" s="4" t="str">
        <f t="shared" si="5"/>
        <v>BXX</v>
      </c>
      <c r="P42" t="s">
        <v>14</v>
      </c>
      <c r="Q42" s="4" t="str">
        <f>$A$3&amp;".DA_ES.DE"</f>
        <v>BXX_SLP3_DM1.DA_ES.DE</v>
      </c>
      <c r="R42" t="s">
        <v>14</v>
      </c>
      <c r="S42" s="4" t="str">
        <f t="shared" si="0"/>
        <v>BXX Pump 3 E-Stop Dialer Enable</v>
      </c>
      <c r="T42">
        <v>0</v>
      </c>
      <c r="U42">
        <v>0</v>
      </c>
    </row>
    <row r="43" spans="1:21" x14ac:dyDescent="0.25">
      <c r="A43" s="4" t="str">
        <f>$A$3&amp;"_PB_RA_DE"</f>
        <v>BXX_SLP3_DM1_PB_RA_DE</v>
      </c>
      <c r="B43" s="4" t="str">
        <f t="shared" si="2"/>
        <v>BXX_SLP3_DM1</v>
      </c>
      <c r="C43" s="4" t="str">
        <f>$C$3&amp;" Overload Dialer Enable"</f>
        <v>BXX Pump 3 Overload Dialer Enable</v>
      </c>
      <c r="D43" s="2">
        <f t="shared" si="1"/>
        <v>33</v>
      </c>
      <c r="E43" t="s">
        <v>14</v>
      </c>
      <c r="F43" t="s">
        <v>13</v>
      </c>
      <c r="G43" s="5">
        <v>600</v>
      </c>
      <c r="H43" t="s">
        <v>13</v>
      </c>
      <c r="I43" t="s">
        <v>54</v>
      </c>
      <c r="J43" t="s">
        <v>60</v>
      </c>
      <c r="K43" t="s">
        <v>59</v>
      </c>
      <c r="L43" t="s">
        <v>56</v>
      </c>
      <c r="M43">
        <v>1</v>
      </c>
      <c r="N43" t="s">
        <v>57</v>
      </c>
      <c r="O43" s="4" t="str">
        <f t="shared" si="5"/>
        <v>BXX</v>
      </c>
      <c r="P43" t="s">
        <v>14</v>
      </c>
      <c r="Q43" s="4" t="str">
        <f>$A$3&amp;".DA_RA.DE"</f>
        <v>BXX_SLP3_DM1.DA_RA.DE</v>
      </c>
      <c r="R43" t="s">
        <v>14</v>
      </c>
      <c r="S43" s="4" t="str">
        <f t="shared" si="0"/>
        <v>BXX Pump 3 Overload Dialer Enable</v>
      </c>
      <c r="T43">
        <v>0</v>
      </c>
      <c r="U43">
        <v>0</v>
      </c>
    </row>
    <row r="44" spans="1:21" x14ac:dyDescent="0.25">
      <c r="A44" s="4" t="str">
        <f>$A$3&amp;"_PB_DF_DE"</f>
        <v>BXX_SLP3_DM1_PB_DF_DE</v>
      </c>
      <c r="B44" s="4" t="str">
        <f t="shared" si="2"/>
        <v>BXX_SLP3_DM1</v>
      </c>
      <c r="C44" s="4" t="str">
        <f>$C$3&amp;" Not Ready Dialer Enable"</f>
        <v>BXX Pump 3 Not Ready Dialer Enable</v>
      </c>
      <c r="D44" s="2">
        <f t="shared" si="1"/>
        <v>34</v>
      </c>
      <c r="E44" t="s">
        <v>14</v>
      </c>
      <c r="F44" t="s">
        <v>13</v>
      </c>
      <c r="G44" s="5">
        <v>600</v>
      </c>
      <c r="H44" t="s">
        <v>13</v>
      </c>
      <c r="I44" t="s">
        <v>54</v>
      </c>
      <c r="J44" t="s">
        <v>60</v>
      </c>
      <c r="K44" t="s">
        <v>59</v>
      </c>
      <c r="L44" t="s">
        <v>56</v>
      </c>
      <c r="M44">
        <v>1</v>
      </c>
      <c r="N44" t="s">
        <v>57</v>
      </c>
      <c r="O44" s="4" t="str">
        <f t="shared" si="5"/>
        <v>BXX</v>
      </c>
      <c r="P44" t="s">
        <v>14</v>
      </c>
      <c r="Q44" s="4" t="str">
        <f>$A$3&amp;".DA_DF.DE"</f>
        <v>BXX_SLP3_DM1.DA_DF.DE</v>
      </c>
      <c r="R44" t="s">
        <v>14</v>
      </c>
      <c r="S44" s="4" t="str">
        <f t="shared" si="0"/>
        <v>BXX Pump 3 Not Ready Dialer Enable</v>
      </c>
      <c r="T44">
        <v>0</v>
      </c>
      <c r="U44">
        <v>0</v>
      </c>
    </row>
    <row r="45" spans="1:21" x14ac:dyDescent="0.25">
      <c r="A45" s="4" t="str">
        <f>$A$3&amp;"_PB_MA_DE"</f>
        <v>BXX_SLP3_DM1_PB_MA_DE</v>
      </c>
      <c r="B45" s="4" t="str">
        <f t="shared" si="2"/>
        <v>BXX_SLP3_DM1</v>
      </c>
      <c r="C45" s="4" t="str">
        <f>$C$3&amp;" Loss of Prime Dialer Enable"</f>
        <v>BXX Pump 3 Loss of Prime Dialer Enable</v>
      </c>
      <c r="D45" s="2">
        <f t="shared" si="1"/>
        <v>38</v>
      </c>
      <c r="E45" t="s">
        <v>14</v>
      </c>
      <c r="F45" t="s">
        <v>13</v>
      </c>
      <c r="G45" s="5">
        <v>600</v>
      </c>
      <c r="H45" t="s">
        <v>13</v>
      </c>
      <c r="I45" t="s">
        <v>54</v>
      </c>
      <c r="J45" t="s">
        <v>60</v>
      </c>
      <c r="K45" t="s">
        <v>59</v>
      </c>
      <c r="L45" t="s">
        <v>56</v>
      </c>
      <c r="M45">
        <v>1</v>
      </c>
      <c r="N45" t="s">
        <v>57</v>
      </c>
      <c r="O45" s="4" t="str">
        <f t="shared" si="5"/>
        <v>BXX</v>
      </c>
      <c r="P45" t="s">
        <v>14</v>
      </c>
      <c r="Q45" s="4" t="str">
        <f>$A$3&amp;".DA_MA.DE"</f>
        <v>BXX_SLP3_DM1.DA_MA.DE</v>
      </c>
      <c r="R45" t="s">
        <v>14</v>
      </c>
      <c r="S45" s="4" t="str">
        <f t="shared" si="0"/>
        <v>BXX Pump 3 Loss of Prime Dialer Enable</v>
      </c>
      <c r="T45">
        <v>0</v>
      </c>
      <c r="U45">
        <v>0</v>
      </c>
    </row>
    <row r="46" spans="1:21" x14ac:dyDescent="0.25">
      <c r="A46" s="4" t="str">
        <f>$A$3&amp;"_PB_GA_DE"</f>
        <v>BXX_SLP3_DM1_PB_GA_DE</v>
      </c>
      <c r="B46" s="4" t="str">
        <f t="shared" si="2"/>
        <v>BXX_SLP3_DM1</v>
      </c>
      <c r="C46" s="4" t="str">
        <f>$C$3&amp;" Soft Starter Fault Dialer Enable"</f>
        <v>BXX Pump 3 Soft Starter Fault Dialer Enable</v>
      </c>
      <c r="D46" s="2">
        <f t="shared" si="1"/>
        <v>43</v>
      </c>
      <c r="E46" t="s">
        <v>14</v>
      </c>
      <c r="F46" t="s">
        <v>13</v>
      </c>
      <c r="G46" s="5">
        <v>600</v>
      </c>
      <c r="H46" t="s">
        <v>13</v>
      </c>
      <c r="I46" t="s">
        <v>54</v>
      </c>
      <c r="J46" t="s">
        <v>60</v>
      </c>
      <c r="K46" t="s">
        <v>59</v>
      </c>
      <c r="L46" t="s">
        <v>56</v>
      </c>
      <c r="M46">
        <v>1</v>
      </c>
      <c r="N46" t="s">
        <v>57</v>
      </c>
      <c r="O46" s="4" t="str">
        <f t="shared" si="5"/>
        <v>BXX</v>
      </c>
      <c r="P46" t="s">
        <v>14</v>
      </c>
      <c r="Q46" s="4" t="str">
        <f>$A$3&amp;".DA_GA.DE"</f>
        <v>BXX_SLP3_DM1.DA_GA.DE</v>
      </c>
      <c r="R46" t="s">
        <v>14</v>
      </c>
      <c r="S46" s="4" t="str">
        <f t="shared" si="0"/>
        <v>BXX Pump 3 Soft Starter Fault Dialer Enable</v>
      </c>
      <c r="T46">
        <v>0</v>
      </c>
      <c r="U46">
        <v>0</v>
      </c>
    </row>
    <row r="47" spans="1:21" x14ac:dyDescent="0.25">
      <c r="A47" s="4" t="str">
        <f>$A$3&amp;"_PB_TA_DE"</f>
        <v>BXX_SLP3_DM1_PB_TA_DE</v>
      </c>
      <c r="B47" s="4" t="str">
        <f t="shared" si="2"/>
        <v>BXX_SLP3_DM1</v>
      </c>
      <c r="C47" s="4" t="str">
        <f>$C$3&amp;" Temp/Leak Dialer Enable"</f>
        <v>BXX Pump 3 Temp/Leak Dialer Enable</v>
      </c>
      <c r="D47" s="2">
        <f t="shared" si="1"/>
        <v>34</v>
      </c>
      <c r="E47" t="s">
        <v>14</v>
      </c>
      <c r="F47" t="s">
        <v>13</v>
      </c>
      <c r="G47" s="5">
        <v>600</v>
      </c>
      <c r="H47" t="s">
        <v>13</v>
      </c>
      <c r="I47" t="s">
        <v>54</v>
      </c>
      <c r="J47" t="s">
        <v>60</v>
      </c>
      <c r="K47" t="s">
        <v>59</v>
      </c>
      <c r="L47" t="s">
        <v>56</v>
      </c>
      <c r="M47">
        <v>1</v>
      </c>
      <c r="N47" t="s">
        <v>57</v>
      </c>
      <c r="O47" s="4" t="str">
        <f t="shared" si="5"/>
        <v>BXX</v>
      </c>
      <c r="P47" t="s">
        <v>14</v>
      </c>
      <c r="Q47" s="4" t="str">
        <f>$A$3&amp;".DA_TA.DE"</f>
        <v>BXX_SLP3_DM1.DA_TA.DE</v>
      </c>
      <c r="R47" t="s">
        <v>14</v>
      </c>
      <c r="S47" s="4" t="str">
        <f t="shared" si="0"/>
        <v>BXX Pump 3 Temp/Leak Dialer Enable</v>
      </c>
      <c r="T47">
        <v>0</v>
      </c>
      <c r="U47">
        <v>0</v>
      </c>
    </row>
    <row r="48" spans="1:21" x14ac:dyDescent="0.25">
      <c r="A48" s="4" t="str">
        <f>$A$3&amp;"_PB_ES_SR"</f>
        <v>BXX_SLP3_DM1_PB_ES_SR</v>
      </c>
      <c r="B48" s="4" t="str">
        <f t="shared" si="2"/>
        <v>BXX_SLP3_DM1</v>
      </c>
      <c r="C48" s="4" t="str">
        <f>$C$3&amp;" E-Stop Sup Enable"</f>
        <v>BXX Pump 3 E-Stop Sup Enable</v>
      </c>
      <c r="D48" s="2">
        <f t="shared" si="1"/>
        <v>28</v>
      </c>
      <c r="E48" t="s">
        <v>14</v>
      </c>
      <c r="F48" t="s">
        <v>13</v>
      </c>
      <c r="G48" s="5">
        <v>600</v>
      </c>
      <c r="H48" t="s">
        <v>13</v>
      </c>
      <c r="I48" t="s">
        <v>54</v>
      </c>
      <c r="J48" t="s">
        <v>60</v>
      </c>
      <c r="K48" t="s">
        <v>59</v>
      </c>
      <c r="L48" t="s">
        <v>56</v>
      </c>
      <c r="M48">
        <v>1</v>
      </c>
      <c r="N48" t="s">
        <v>57</v>
      </c>
      <c r="O48" s="4" t="str">
        <f t="shared" si="5"/>
        <v>BXX</v>
      </c>
      <c r="P48" t="s">
        <v>14</v>
      </c>
      <c r="Q48" s="4" t="str">
        <f>$A$3&amp;".DA_ES.SR"</f>
        <v>BXX_SLP3_DM1.DA_ES.SR</v>
      </c>
      <c r="R48" t="s">
        <v>14</v>
      </c>
      <c r="S48" s="4" t="str">
        <f t="shared" si="0"/>
        <v>BXX Pump 3 E-Stop Sup Enable</v>
      </c>
      <c r="T48">
        <v>0</v>
      </c>
      <c r="U48">
        <v>0</v>
      </c>
    </row>
    <row r="49" spans="1:64" x14ac:dyDescent="0.25">
      <c r="A49" s="4" t="str">
        <f>$A$3&amp;"_PB_RA_SR"</f>
        <v>BXX_SLP3_DM1_PB_RA_SR</v>
      </c>
      <c r="B49" s="4" t="str">
        <f t="shared" si="2"/>
        <v>BXX_SLP3_DM1</v>
      </c>
      <c r="C49" s="4" t="str">
        <f>$C$3&amp;" Overload Sup Enable"</f>
        <v>BXX Pump 3 Overload Sup Enable</v>
      </c>
      <c r="D49" s="2">
        <f t="shared" si="1"/>
        <v>30</v>
      </c>
      <c r="E49" t="s">
        <v>14</v>
      </c>
      <c r="F49" t="s">
        <v>13</v>
      </c>
      <c r="G49" s="5">
        <v>600</v>
      </c>
      <c r="H49" t="s">
        <v>13</v>
      </c>
      <c r="I49" t="s">
        <v>54</v>
      </c>
      <c r="J49" t="s">
        <v>60</v>
      </c>
      <c r="K49" t="s">
        <v>59</v>
      </c>
      <c r="L49" t="s">
        <v>56</v>
      </c>
      <c r="M49">
        <v>1</v>
      </c>
      <c r="N49" t="s">
        <v>57</v>
      </c>
      <c r="O49" s="4" t="str">
        <f t="shared" si="5"/>
        <v>BXX</v>
      </c>
      <c r="P49" t="s">
        <v>14</v>
      </c>
      <c r="Q49" s="4" t="str">
        <f>$A$3&amp;".DA_RA.SR"</f>
        <v>BXX_SLP3_DM1.DA_RA.SR</v>
      </c>
      <c r="R49" t="s">
        <v>14</v>
      </c>
      <c r="S49" s="4" t="str">
        <f t="shared" si="0"/>
        <v>BXX Pump 3 Overload Sup Enable</v>
      </c>
      <c r="T49">
        <v>0</v>
      </c>
      <c r="U49">
        <v>0</v>
      </c>
    </row>
    <row r="50" spans="1:64" x14ac:dyDescent="0.25">
      <c r="A50" s="4" t="str">
        <f>$A$3&amp;"_PB_DF_SR"</f>
        <v>BXX_SLP3_DM1_PB_DF_SR</v>
      </c>
      <c r="B50" s="4" t="str">
        <f t="shared" si="2"/>
        <v>BXX_SLP3_DM1</v>
      </c>
      <c r="C50" s="4" t="str">
        <f>$C$3&amp;" Not Ready Sup Enable"</f>
        <v>BXX Pump 3 Not Ready Sup Enable</v>
      </c>
      <c r="D50" s="2">
        <f t="shared" si="1"/>
        <v>31</v>
      </c>
      <c r="E50" t="s">
        <v>14</v>
      </c>
      <c r="F50" t="s">
        <v>13</v>
      </c>
      <c r="G50" s="5">
        <v>600</v>
      </c>
      <c r="H50" t="s">
        <v>13</v>
      </c>
      <c r="I50" t="s">
        <v>54</v>
      </c>
      <c r="J50" t="s">
        <v>60</v>
      </c>
      <c r="K50" t="s">
        <v>59</v>
      </c>
      <c r="L50" t="s">
        <v>56</v>
      </c>
      <c r="M50">
        <v>1</v>
      </c>
      <c r="N50" t="s">
        <v>57</v>
      </c>
      <c r="O50" s="4" t="str">
        <f t="shared" si="5"/>
        <v>BXX</v>
      </c>
      <c r="P50" t="s">
        <v>14</v>
      </c>
      <c r="Q50" s="4" t="str">
        <f>$A$3&amp;".DA_DF.SR"</f>
        <v>BXX_SLP3_DM1.DA_DF.SR</v>
      </c>
      <c r="R50" t="s">
        <v>14</v>
      </c>
      <c r="S50" s="4" t="str">
        <f t="shared" si="0"/>
        <v>BXX Pump 3 Not Ready Sup Enable</v>
      </c>
      <c r="T50">
        <v>0</v>
      </c>
      <c r="U50">
        <v>0</v>
      </c>
    </row>
    <row r="51" spans="1:64" x14ac:dyDescent="0.25">
      <c r="A51" s="4" t="str">
        <f>$A$3&amp;"_PB_GA_SR"</f>
        <v>BXX_SLP3_DM1_PB_GA_SR</v>
      </c>
      <c r="B51" s="4" t="str">
        <f t="shared" si="2"/>
        <v>BXX_SLP3_DM1</v>
      </c>
      <c r="C51" s="4" t="str">
        <f>$C$3&amp;" Soft Starter Fault Sup Enable"</f>
        <v>BXX Pump 3 Soft Starter Fault Sup Enable</v>
      </c>
      <c r="D51" s="2">
        <f t="shared" si="1"/>
        <v>40</v>
      </c>
      <c r="E51" t="s">
        <v>14</v>
      </c>
      <c r="F51" t="s">
        <v>13</v>
      </c>
      <c r="G51" s="5">
        <v>600</v>
      </c>
      <c r="H51" t="s">
        <v>13</v>
      </c>
      <c r="I51" t="s">
        <v>54</v>
      </c>
      <c r="J51" t="s">
        <v>60</v>
      </c>
      <c r="K51" t="s">
        <v>59</v>
      </c>
      <c r="L51" t="s">
        <v>56</v>
      </c>
      <c r="M51">
        <v>1</v>
      </c>
      <c r="N51" t="s">
        <v>57</v>
      </c>
      <c r="O51" s="4" t="str">
        <f t="shared" si="5"/>
        <v>BXX</v>
      </c>
      <c r="P51" t="s">
        <v>14</v>
      </c>
      <c r="Q51" s="4" t="str">
        <f>$A$3&amp;".DA_GA.SR"</f>
        <v>BXX_SLP3_DM1.DA_GA.SR</v>
      </c>
      <c r="R51" t="s">
        <v>14</v>
      </c>
      <c r="S51" s="4" t="str">
        <f t="shared" si="0"/>
        <v>BXX Pump 3 Soft Starter Fault Sup Enable</v>
      </c>
      <c r="T51">
        <v>0</v>
      </c>
      <c r="U51">
        <v>0</v>
      </c>
    </row>
    <row r="52" spans="1:64" x14ac:dyDescent="0.25">
      <c r="A52" s="4" t="str">
        <f>$A$3&amp;"_PB_TA_SR"</f>
        <v>BXX_SLP3_DM1_PB_TA_SR</v>
      </c>
      <c r="B52" s="4" t="str">
        <f t="shared" si="2"/>
        <v>BXX_SLP3_DM1</v>
      </c>
      <c r="C52" s="4" t="str">
        <f>$C$3&amp;" Temp/Leak Sup Enable"</f>
        <v>BXX Pump 3 Temp/Leak Sup Enable</v>
      </c>
      <c r="D52" s="2">
        <f t="shared" si="1"/>
        <v>31</v>
      </c>
      <c r="E52" t="s">
        <v>14</v>
      </c>
      <c r="F52" t="s">
        <v>13</v>
      </c>
      <c r="G52" s="5">
        <v>600</v>
      </c>
      <c r="H52" t="s">
        <v>13</v>
      </c>
      <c r="I52" t="s">
        <v>54</v>
      </c>
      <c r="J52" t="s">
        <v>60</v>
      </c>
      <c r="K52" t="s">
        <v>59</v>
      </c>
      <c r="L52" t="s">
        <v>56</v>
      </c>
      <c r="M52">
        <v>1</v>
      </c>
      <c r="N52" t="s">
        <v>57</v>
      </c>
      <c r="O52" s="4" t="str">
        <f t="shared" si="5"/>
        <v>BXX</v>
      </c>
      <c r="P52" t="s">
        <v>14</v>
      </c>
      <c r="Q52" s="4" t="str">
        <f>$A$3&amp;".DA_TA.SR"</f>
        <v>BXX_SLP3_DM1.DA_TA.SR</v>
      </c>
      <c r="R52" t="s">
        <v>14</v>
      </c>
      <c r="S52" s="4" t="str">
        <f t="shared" si="0"/>
        <v>BXX Pump 3 Temp/Leak Sup Enable</v>
      </c>
      <c r="T52">
        <v>0</v>
      </c>
      <c r="U52">
        <v>0</v>
      </c>
    </row>
    <row r="53" spans="1:64" x14ac:dyDescent="0.25">
      <c r="A53" t="s">
        <v>186</v>
      </c>
      <c r="B53" t="s">
        <v>16</v>
      </c>
      <c r="C53" t="s">
        <v>17</v>
      </c>
      <c r="D53"/>
      <c r="E53" t="s">
        <v>39</v>
      </c>
      <c r="F53" t="s">
        <v>18</v>
      </c>
      <c r="G53" t="s">
        <v>19</v>
      </c>
      <c r="H53" t="s">
        <v>40</v>
      </c>
      <c r="I53" t="s">
        <v>71</v>
      </c>
      <c r="J53" t="s">
        <v>72</v>
      </c>
      <c r="K53" t="s">
        <v>73</v>
      </c>
      <c r="L53" t="s">
        <v>74</v>
      </c>
      <c r="M53" t="s">
        <v>75</v>
      </c>
      <c r="N53" t="s">
        <v>187</v>
      </c>
      <c r="O53" t="s">
        <v>188</v>
      </c>
      <c r="P53" t="s">
        <v>78</v>
      </c>
      <c r="Q53" t="s">
        <v>79</v>
      </c>
      <c r="R53" t="s">
        <v>80</v>
      </c>
      <c r="S53" t="s">
        <v>81</v>
      </c>
      <c r="T53" t="s">
        <v>82</v>
      </c>
      <c r="U53" t="s">
        <v>83</v>
      </c>
      <c r="V53" t="s">
        <v>84</v>
      </c>
      <c r="W53" t="s">
        <v>85</v>
      </c>
      <c r="X53" t="s">
        <v>86</v>
      </c>
      <c r="Y53" t="s">
        <v>87</v>
      </c>
      <c r="Z53" t="s">
        <v>88</v>
      </c>
      <c r="AA53" t="s">
        <v>89</v>
      </c>
      <c r="AB53" t="s">
        <v>90</v>
      </c>
      <c r="AC53" t="s">
        <v>91</v>
      </c>
      <c r="AD53" t="s">
        <v>92</v>
      </c>
      <c r="AE53" t="s">
        <v>93</v>
      </c>
      <c r="AF53" t="s">
        <v>94</v>
      </c>
      <c r="AG53" t="s">
        <v>95</v>
      </c>
      <c r="AH53" t="s">
        <v>96</v>
      </c>
      <c r="AI53" t="s">
        <v>97</v>
      </c>
      <c r="AJ53" t="s">
        <v>98</v>
      </c>
      <c r="AK53" t="s">
        <v>99</v>
      </c>
      <c r="AL53" t="s">
        <v>100</v>
      </c>
      <c r="AM53" t="s">
        <v>101</v>
      </c>
      <c r="AN53" t="s">
        <v>102</v>
      </c>
      <c r="AO53" t="s">
        <v>51</v>
      </c>
      <c r="AP53" t="s">
        <v>52</v>
      </c>
      <c r="AQ53" t="s">
        <v>20</v>
      </c>
      <c r="AR53" t="s">
        <v>21</v>
      </c>
      <c r="AS53" t="s">
        <v>22</v>
      </c>
      <c r="AT53" t="s">
        <v>23</v>
      </c>
      <c r="AU53" t="s">
        <v>24</v>
      </c>
      <c r="AV53" t="s">
        <v>25</v>
      </c>
      <c r="AW53" t="s">
        <v>26</v>
      </c>
      <c r="AX53" t="s">
        <v>28</v>
      </c>
      <c r="AY53" t="s">
        <v>29</v>
      </c>
      <c r="AZ53" t="s">
        <v>30</v>
      </c>
      <c r="BA53" t="s">
        <v>31</v>
      </c>
      <c r="BB53" t="s">
        <v>32</v>
      </c>
      <c r="BC53" t="s">
        <v>33</v>
      </c>
      <c r="BD53" t="s">
        <v>34</v>
      </c>
      <c r="BE53" t="s">
        <v>53</v>
      </c>
    </row>
    <row r="54" spans="1:64" x14ac:dyDescent="0.25">
      <c r="A54" t="s">
        <v>189</v>
      </c>
      <c r="B54" t="s">
        <v>127</v>
      </c>
      <c r="C54" t="s">
        <v>190</v>
      </c>
      <c r="E54" t="s">
        <v>14</v>
      </c>
      <c r="F54" t="s">
        <v>14</v>
      </c>
      <c r="G54">
        <v>0</v>
      </c>
      <c r="H54" t="s">
        <v>14</v>
      </c>
      <c r="I54" t="s">
        <v>14</v>
      </c>
      <c r="J54">
        <v>0</v>
      </c>
      <c r="K54">
        <v>0</v>
      </c>
      <c r="M54">
        <v>0</v>
      </c>
      <c r="N54">
        <v>0</v>
      </c>
      <c r="O54">
        <v>9999</v>
      </c>
      <c r="P54">
        <v>0</v>
      </c>
      <c r="Q54">
        <v>0</v>
      </c>
      <c r="R54" t="s">
        <v>54</v>
      </c>
      <c r="S54">
        <v>0</v>
      </c>
      <c r="T54">
        <v>1</v>
      </c>
      <c r="U54" t="s">
        <v>54</v>
      </c>
      <c r="V54">
        <v>0</v>
      </c>
      <c r="W54">
        <v>1</v>
      </c>
      <c r="X54" t="s">
        <v>54</v>
      </c>
      <c r="Y54">
        <v>0</v>
      </c>
      <c r="Z54">
        <v>1</v>
      </c>
      <c r="AA54" t="s">
        <v>54</v>
      </c>
      <c r="AB54">
        <v>0</v>
      </c>
      <c r="AC54">
        <v>1</v>
      </c>
      <c r="AD54" t="s">
        <v>54</v>
      </c>
      <c r="AE54">
        <v>0</v>
      </c>
      <c r="AF54">
        <v>1</v>
      </c>
      <c r="AG54" t="s">
        <v>54</v>
      </c>
      <c r="AH54">
        <v>0</v>
      </c>
      <c r="AI54">
        <v>1</v>
      </c>
      <c r="AJ54">
        <v>0</v>
      </c>
      <c r="AK54" t="s">
        <v>54</v>
      </c>
      <c r="AL54">
        <v>0</v>
      </c>
      <c r="AM54">
        <v>1</v>
      </c>
      <c r="AN54" t="s">
        <v>107</v>
      </c>
      <c r="AO54" t="s">
        <v>190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</row>
    <row r="55" spans="1:64" x14ac:dyDescent="0.25">
      <c r="A55" t="s">
        <v>191</v>
      </c>
      <c r="B55" t="s">
        <v>127</v>
      </c>
      <c r="C55" t="s">
        <v>190</v>
      </c>
      <c r="E55" t="s">
        <v>14</v>
      </c>
      <c r="F55" t="s">
        <v>14</v>
      </c>
      <c r="G55">
        <v>0</v>
      </c>
      <c r="H55" t="s">
        <v>14</v>
      </c>
      <c r="I55" t="s">
        <v>14</v>
      </c>
      <c r="J55">
        <v>0</v>
      </c>
      <c r="K55">
        <v>0</v>
      </c>
      <c r="M55">
        <v>0</v>
      </c>
      <c r="N55">
        <v>0</v>
      </c>
      <c r="O55">
        <v>9999</v>
      </c>
      <c r="P55">
        <v>0</v>
      </c>
      <c r="Q55">
        <v>0</v>
      </c>
      <c r="R55" t="s">
        <v>54</v>
      </c>
      <c r="S55">
        <v>0</v>
      </c>
      <c r="T55">
        <v>1</v>
      </c>
      <c r="U55" t="s">
        <v>54</v>
      </c>
      <c r="V55">
        <v>0</v>
      </c>
      <c r="W55">
        <v>1</v>
      </c>
      <c r="X55" t="s">
        <v>54</v>
      </c>
      <c r="Y55">
        <v>0</v>
      </c>
      <c r="Z55">
        <v>1</v>
      </c>
      <c r="AA55" t="s">
        <v>54</v>
      </c>
      <c r="AB55">
        <v>0</v>
      </c>
      <c r="AC55">
        <v>1</v>
      </c>
      <c r="AD55" t="s">
        <v>54</v>
      </c>
      <c r="AE55">
        <v>0</v>
      </c>
      <c r="AF55">
        <v>1</v>
      </c>
      <c r="AG55" t="s">
        <v>54</v>
      </c>
      <c r="AH55">
        <v>0</v>
      </c>
      <c r="AI55">
        <v>1</v>
      </c>
      <c r="AJ55">
        <v>0</v>
      </c>
      <c r="AK55" t="s">
        <v>54</v>
      </c>
      <c r="AL55">
        <v>0</v>
      </c>
      <c r="AM55">
        <v>1</v>
      </c>
      <c r="AN55" t="s">
        <v>107</v>
      </c>
      <c r="AO55" t="s">
        <v>190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</row>
    <row r="56" spans="1:64" x14ac:dyDescent="0.25">
      <c r="A56" t="s">
        <v>192</v>
      </c>
      <c r="B56" t="s">
        <v>127</v>
      </c>
      <c r="C56" t="s">
        <v>190</v>
      </c>
      <c r="E56" t="s">
        <v>14</v>
      </c>
      <c r="F56" t="s">
        <v>14</v>
      </c>
      <c r="G56">
        <v>0</v>
      </c>
      <c r="H56" t="s">
        <v>14</v>
      </c>
      <c r="I56" t="s">
        <v>14</v>
      </c>
      <c r="J56">
        <v>0</v>
      </c>
      <c r="K56">
        <v>0</v>
      </c>
      <c r="M56">
        <v>0</v>
      </c>
      <c r="N56">
        <v>0</v>
      </c>
      <c r="O56">
        <v>9999</v>
      </c>
      <c r="P56">
        <v>0</v>
      </c>
      <c r="Q56">
        <v>0</v>
      </c>
      <c r="R56" t="s">
        <v>54</v>
      </c>
      <c r="S56">
        <v>0</v>
      </c>
      <c r="T56">
        <v>1</v>
      </c>
      <c r="U56" t="s">
        <v>54</v>
      </c>
      <c r="V56">
        <v>0</v>
      </c>
      <c r="W56">
        <v>1</v>
      </c>
      <c r="X56" t="s">
        <v>54</v>
      </c>
      <c r="Y56">
        <v>0</v>
      </c>
      <c r="Z56">
        <v>1</v>
      </c>
      <c r="AA56" t="s">
        <v>54</v>
      </c>
      <c r="AB56">
        <v>0</v>
      </c>
      <c r="AC56">
        <v>1</v>
      </c>
      <c r="AD56" t="s">
        <v>54</v>
      </c>
      <c r="AE56">
        <v>0</v>
      </c>
      <c r="AF56">
        <v>1</v>
      </c>
      <c r="AG56" t="s">
        <v>54</v>
      </c>
      <c r="AH56">
        <v>0</v>
      </c>
      <c r="AI56">
        <v>1</v>
      </c>
      <c r="AJ56">
        <v>0</v>
      </c>
      <c r="AK56" t="s">
        <v>54</v>
      </c>
      <c r="AL56">
        <v>0</v>
      </c>
      <c r="AM56">
        <v>1</v>
      </c>
      <c r="AN56" t="s">
        <v>107</v>
      </c>
      <c r="AO56" t="s">
        <v>190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</row>
    <row r="57" spans="1:64" x14ac:dyDescent="0.25">
      <c r="A57" t="s">
        <v>173</v>
      </c>
      <c r="B57" t="s">
        <v>127</v>
      </c>
      <c r="C57" t="s">
        <v>174</v>
      </c>
      <c r="E57" t="s">
        <v>14</v>
      </c>
      <c r="F57" t="s">
        <v>14</v>
      </c>
      <c r="G57">
        <v>0</v>
      </c>
      <c r="H57" t="s">
        <v>14</v>
      </c>
      <c r="I57" t="s">
        <v>14</v>
      </c>
      <c r="J57">
        <v>0</v>
      </c>
      <c r="K57">
        <v>0</v>
      </c>
      <c r="M57">
        <v>0</v>
      </c>
      <c r="N57">
        <v>0</v>
      </c>
      <c r="O57">
        <v>9999</v>
      </c>
      <c r="P57">
        <v>0</v>
      </c>
      <c r="Q57">
        <v>0</v>
      </c>
      <c r="R57" t="s">
        <v>54</v>
      </c>
      <c r="S57">
        <v>0</v>
      </c>
      <c r="T57">
        <v>1</v>
      </c>
      <c r="U57" t="s">
        <v>54</v>
      </c>
      <c r="V57">
        <v>0</v>
      </c>
      <c r="W57">
        <v>1</v>
      </c>
      <c r="X57" t="s">
        <v>54</v>
      </c>
      <c r="Y57">
        <v>0</v>
      </c>
      <c r="Z57">
        <v>1</v>
      </c>
      <c r="AA57" t="s">
        <v>54</v>
      </c>
      <c r="AB57">
        <v>0</v>
      </c>
      <c r="AC57">
        <v>1</v>
      </c>
      <c r="AD57" t="s">
        <v>54</v>
      </c>
      <c r="AE57">
        <v>0</v>
      </c>
      <c r="AF57">
        <v>1</v>
      </c>
      <c r="AG57" t="s">
        <v>54</v>
      </c>
      <c r="AH57">
        <v>0</v>
      </c>
      <c r="AI57">
        <v>1</v>
      </c>
      <c r="AJ57">
        <v>0</v>
      </c>
      <c r="AK57" t="s">
        <v>54</v>
      </c>
      <c r="AL57">
        <v>0</v>
      </c>
      <c r="AM57">
        <v>1</v>
      </c>
      <c r="AN57" t="s">
        <v>107</v>
      </c>
      <c r="AO57" t="s">
        <v>174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</row>
    <row r="58" spans="1:64" x14ac:dyDescent="0.25">
      <c r="A58" s="5" t="s">
        <v>70</v>
      </c>
      <c r="B58" t="s">
        <v>16</v>
      </c>
      <c r="C58" t="s">
        <v>17</v>
      </c>
      <c r="D58" s="2">
        <f t="shared" ref="D58:D61" si="6">LEN(C58)</f>
        <v>7</v>
      </c>
      <c r="E58" t="s">
        <v>39</v>
      </c>
      <c r="F58" t="s">
        <v>18</v>
      </c>
      <c r="G58" t="s">
        <v>19</v>
      </c>
      <c r="H58" t="s">
        <v>40</v>
      </c>
      <c r="I58" t="s">
        <v>71</v>
      </c>
      <c r="J58" t="s">
        <v>72</v>
      </c>
      <c r="K58" t="s">
        <v>73</v>
      </c>
      <c r="L58" t="s">
        <v>74</v>
      </c>
      <c r="M58" t="s">
        <v>75</v>
      </c>
      <c r="N58" t="s">
        <v>76</v>
      </c>
      <c r="O58" t="s">
        <v>77</v>
      </c>
      <c r="P58" t="s">
        <v>78</v>
      </c>
      <c r="Q58" t="s">
        <v>79</v>
      </c>
      <c r="R58" t="s">
        <v>80</v>
      </c>
      <c r="S58" t="s">
        <v>81</v>
      </c>
      <c r="T58" t="s">
        <v>82</v>
      </c>
      <c r="U58" t="s">
        <v>83</v>
      </c>
      <c r="V58" t="s">
        <v>84</v>
      </c>
      <c r="W58" t="s">
        <v>85</v>
      </c>
      <c r="X58" t="s">
        <v>86</v>
      </c>
      <c r="Y58" t="s">
        <v>87</v>
      </c>
      <c r="Z58" t="s">
        <v>88</v>
      </c>
      <c r="AA58" t="s">
        <v>89</v>
      </c>
      <c r="AB58" t="s">
        <v>90</v>
      </c>
      <c r="AC58" t="s">
        <v>91</v>
      </c>
      <c r="AD58" t="s">
        <v>92</v>
      </c>
      <c r="AE58" t="s">
        <v>93</v>
      </c>
      <c r="AF58" t="s">
        <v>94</v>
      </c>
      <c r="AG58" t="s">
        <v>95</v>
      </c>
      <c r="AH58" t="s">
        <v>96</v>
      </c>
      <c r="AI58" t="s">
        <v>97</v>
      </c>
      <c r="AJ58" t="s">
        <v>98</v>
      </c>
      <c r="AK58" t="s">
        <v>99</v>
      </c>
      <c r="AL58" t="s">
        <v>100</v>
      </c>
      <c r="AM58" t="s">
        <v>101</v>
      </c>
      <c r="AN58" t="s">
        <v>102</v>
      </c>
      <c r="AO58" t="s">
        <v>103</v>
      </c>
      <c r="AP58" t="s">
        <v>104</v>
      </c>
      <c r="AQ58" t="s">
        <v>105</v>
      </c>
      <c r="AR58" t="s">
        <v>47</v>
      </c>
      <c r="AS58" t="s">
        <v>48</v>
      </c>
      <c r="AT58" t="s">
        <v>49</v>
      </c>
      <c r="AU58" t="s">
        <v>50</v>
      </c>
      <c r="AV58" t="s">
        <v>51</v>
      </c>
      <c r="AW58" t="s">
        <v>52</v>
      </c>
      <c r="AX58" t="s">
        <v>20</v>
      </c>
      <c r="AY58" t="s">
        <v>21</v>
      </c>
      <c r="AZ58" t="s">
        <v>22</v>
      </c>
      <c r="BA58" t="s">
        <v>23</v>
      </c>
      <c r="BB58" t="s">
        <v>24</v>
      </c>
      <c r="BC58" t="s">
        <v>25</v>
      </c>
      <c r="BD58" t="s">
        <v>26</v>
      </c>
      <c r="BE58" t="s">
        <v>28</v>
      </c>
      <c r="BF58" t="s">
        <v>29</v>
      </c>
      <c r="BG58" t="s">
        <v>30</v>
      </c>
      <c r="BH58" t="s">
        <v>31</v>
      </c>
      <c r="BI58" t="s">
        <v>32</v>
      </c>
      <c r="BJ58" t="s">
        <v>33</v>
      </c>
      <c r="BK58" t="s">
        <v>34</v>
      </c>
      <c r="BL58" t="s">
        <v>53</v>
      </c>
    </row>
    <row r="59" spans="1:64" x14ac:dyDescent="0.25">
      <c r="A59" s="4" t="str">
        <f>$A$3&amp;"_AI_RT"</f>
        <v>BXX_SLP3_DM1_AI_RT</v>
      </c>
      <c r="B59" s="4" t="str">
        <f>$A$3</f>
        <v>BXX_SLP3_DM1</v>
      </c>
      <c r="C59" s="4" t="str">
        <f>$C$3&amp;" Runtime (Hours)"</f>
        <v>BXX Pump 3 Runtime (Hours)</v>
      </c>
      <c r="D59" s="2">
        <f t="shared" si="6"/>
        <v>26</v>
      </c>
      <c r="E59" t="s">
        <v>13</v>
      </c>
      <c r="F59" t="s">
        <v>14</v>
      </c>
      <c r="G59">
        <v>0</v>
      </c>
      <c r="H59" t="s">
        <v>13</v>
      </c>
      <c r="I59" t="s">
        <v>14</v>
      </c>
      <c r="J59">
        <v>0</v>
      </c>
      <c r="K59">
        <v>0</v>
      </c>
      <c r="L59" t="s">
        <v>193</v>
      </c>
      <c r="M59">
        <v>0</v>
      </c>
      <c r="N59">
        <v>0</v>
      </c>
      <c r="O59">
        <v>1000000</v>
      </c>
      <c r="P59">
        <v>0</v>
      </c>
      <c r="Q59">
        <v>1</v>
      </c>
      <c r="R59" t="s">
        <v>54</v>
      </c>
      <c r="S59">
        <v>0</v>
      </c>
      <c r="T59">
        <v>1</v>
      </c>
      <c r="U59" t="s">
        <v>54</v>
      </c>
      <c r="V59">
        <v>0</v>
      </c>
      <c r="W59">
        <v>1</v>
      </c>
      <c r="X59" t="s">
        <v>54</v>
      </c>
      <c r="Y59">
        <v>0</v>
      </c>
      <c r="Z59">
        <v>1</v>
      </c>
      <c r="AA59" t="s">
        <v>54</v>
      </c>
      <c r="AB59">
        <v>0</v>
      </c>
      <c r="AC59">
        <v>1</v>
      </c>
      <c r="AD59" t="s">
        <v>54</v>
      </c>
      <c r="AE59">
        <v>0</v>
      </c>
      <c r="AF59">
        <v>1</v>
      </c>
      <c r="AG59" t="s">
        <v>54</v>
      </c>
      <c r="AH59">
        <v>0</v>
      </c>
      <c r="AI59">
        <v>1</v>
      </c>
      <c r="AJ59">
        <v>0</v>
      </c>
      <c r="AK59" t="s">
        <v>54</v>
      </c>
      <c r="AL59">
        <v>0</v>
      </c>
      <c r="AM59">
        <v>1</v>
      </c>
      <c r="AN59" t="s">
        <v>107</v>
      </c>
      <c r="AO59">
        <v>0</v>
      </c>
      <c r="AP59">
        <v>1000000</v>
      </c>
      <c r="AQ59" t="s">
        <v>108</v>
      </c>
      <c r="AR59" s="4" t="str">
        <f>$O$7</f>
        <v>BXX</v>
      </c>
      <c r="AS59" t="s">
        <v>14</v>
      </c>
      <c r="AT59" s="4" t="str">
        <f>$A$3&amp;".AI_RT"</f>
        <v>BXX_SLP3_DM1.AI_RT</v>
      </c>
      <c r="AU59" t="s">
        <v>14</v>
      </c>
      <c r="AV59" s="4" t="str">
        <f t="shared" ref="AV59" si="7">C59</f>
        <v>BXX Pump 3 Runtime (Hours)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</row>
    <row r="60" spans="1:64" x14ac:dyDescent="0.25">
      <c r="A60" s="5" t="s">
        <v>123</v>
      </c>
      <c r="B60" t="s">
        <v>16</v>
      </c>
      <c r="C60" t="s">
        <v>17</v>
      </c>
      <c r="D60" s="2">
        <f t="shared" si="6"/>
        <v>7</v>
      </c>
      <c r="E60" t="s">
        <v>39</v>
      </c>
      <c r="F60" t="s">
        <v>18</v>
      </c>
      <c r="G60" t="s">
        <v>19</v>
      </c>
      <c r="H60" t="s">
        <v>40</v>
      </c>
      <c r="I60" t="s">
        <v>124</v>
      </c>
      <c r="J60" t="s">
        <v>125</v>
      </c>
      <c r="K60" t="s">
        <v>51</v>
      </c>
      <c r="L60" t="s">
        <v>53</v>
      </c>
    </row>
    <row r="61" spans="1:64" x14ac:dyDescent="0.25">
      <c r="A61" s="4" t="str">
        <f>$A$3&amp;"_DI_NM"</f>
        <v>BXX_SLP3_DM1_DI_NM</v>
      </c>
      <c r="B61" s="4" t="str">
        <f>$A$3</f>
        <v>BXX_SLP3_DM1</v>
      </c>
      <c r="C61" s="4" t="str">
        <f>$A$3</f>
        <v>BXX_SLP3_DM1</v>
      </c>
      <c r="D61" s="2">
        <f t="shared" si="6"/>
        <v>12</v>
      </c>
      <c r="E61" t="s">
        <v>14</v>
      </c>
      <c r="F61" t="s">
        <v>14</v>
      </c>
      <c r="G61">
        <v>0</v>
      </c>
      <c r="H61" t="s">
        <v>13</v>
      </c>
      <c r="I61">
        <v>24</v>
      </c>
      <c r="J61" s="4" t="str">
        <f>$A$3</f>
        <v>BXX_SLP3_DM1</v>
      </c>
      <c r="K61" s="4" t="str">
        <f>$A$3</f>
        <v>BXX_SLP3_DM1</v>
      </c>
    </row>
    <row r="62" spans="1:64" x14ac:dyDescent="0.25">
      <c r="A62" t="s">
        <v>592</v>
      </c>
      <c r="B62" t="s">
        <v>127</v>
      </c>
      <c r="C62" t="s">
        <v>194</v>
      </c>
      <c r="E62" t="s">
        <v>14</v>
      </c>
      <c r="F62" t="s">
        <v>14</v>
      </c>
      <c r="G62">
        <v>0</v>
      </c>
      <c r="H62" t="s">
        <v>13</v>
      </c>
      <c r="I62">
        <v>131</v>
      </c>
    </row>
    <row r="63" spans="1:64" x14ac:dyDescent="0.25">
      <c r="A63" t="s">
        <v>593</v>
      </c>
      <c r="B63" t="s">
        <v>127</v>
      </c>
      <c r="C63" t="s">
        <v>195</v>
      </c>
      <c r="E63" t="s">
        <v>14</v>
      </c>
      <c r="F63" t="s">
        <v>14</v>
      </c>
      <c r="G63">
        <v>0</v>
      </c>
      <c r="H63" t="s">
        <v>13</v>
      </c>
      <c r="I63">
        <v>131</v>
      </c>
    </row>
    <row r="64" spans="1:64" x14ac:dyDescent="0.25">
      <c r="A64" t="s">
        <v>594</v>
      </c>
      <c r="B64" t="s">
        <v>127</v>
      </c>
      <c r="C64" t="s">
        <v>196</v>
      </c>
      <c r="E64" t="s">
        <v>14</v>
      </c>
      <c r="F64" t="s">
        <v>14</v>
      </c>
      <c r="G64">
        <v>0</v>
      </c>
      <c r="H64" t="s">
        <v>13</v>
      </c>
      <c r="I64">
        <v>131</v>
      </c>
    </row>
    <row r="65" spans="1:16" x14ac:dyDescent="0.25">
      <c r="A65" t="s">
        <v>197</v>
      </c>
      <c r="B65" t="s">
        <v>127</v>
      </c>
      <c r="C65" t="s">
        <v>198</v>
      </c>
      <c r="E65" t="s">
        <v>14</v>
      </c>
      <c r="F65" t="s">
        <v>14</v>
      </c>
      <c r="G65">
        <v>0</v>
      </c>
      <c r="H65" t="s">
        <v>13</v>
      </c>
      <c r="I65">
        <v>64</v>
      </c>
      <c r="K65" t="s">
        <v>198</v>
      </c>
    </row>
    <row r="66" spans="1:16" x14ac:dyDescent="0.25">
      <c r="A66" t="s">
        <v>130</v>
      </c>
      <c r="B66" t="s">
        <v>16</v>
      </c>
      <c r="C66" t="s">
        <v>17</v>
      </c>
      <c r="E66" t="s">
        <v>39</v>
      </c>
      <c r="F66" t="s">
        <v>18</v>
      </c>
      <c r="G66" t="s">
        <v>19</v>
      </c>
      <c r="H66" t="s">
        <v>40</v>
      </c>
      <c r="I66" t="s">
        <v>124</v>
      </c>
      <c r="J66" t="s">
        <v>125</v>
      </c>
      <c r="K66" t="s">
        <v>47</v>
      </c>
      <c r="L66" t="s">
        <v>48</v>
      </c>
      <c r="M66" t="s">
        <v>49</v>
      </c>
      <c r="N66" t="s">
        <v>50</v>
      </c>
      <c r="O66" t="s">
        <v>51</v>
      </c>
      <c r="P66" t="s">
        <v>53</v>
      </c>
    </row>
    <row r="67" spans="1:16" x14ac:dyDescent="0.25">
      <c r="A67" s="4" t="str">
        <f>$A$3&amp;"_PB_AE_RN"</f>
        <v>BXX_SLP3_DM1_PB_AE_RN</v>
      </c>
      <c r="B67" s="4" t="str">
        <f t="shared" ref="B67:B72" si="8">$A$3</f>
        <v>BXX_SLP3_DM1</v>
      </c>
      <c r="C67" s="4" t="str">
        <f>$C$3 &amp; " Alarms Disabled Reason"</f>
        <v>BXX Pump 3 Alarms Disabled Reason</v>
      </c>
      <c r="D67" s="2">
        <f t="shared" ref="D67:D130" si="9">LEN(C67)</f>
        <v>33</v>
      </c>
      <c r="E67" t="s">
        <v>14</v>
      </c>
      <c r="F67" t="s">
        <v>14</v>
      </c>
      <c r="G67">
        <v>0</v>
      </c>
      <c r="H67" t="s">
        <v>13</v>
      </c>
      <c r="I67">
        <v>131</v>
      </c>
      <c r="J67" t="s">
        <v>131</v>
      </c>
      <c r="K67" s="4" t="s">
        <v>630</v>
      </c>
      <c r="L67" t="s">
        <v>13</v>
      </c>
      <c r="M67" s="4" t="str">
        <f t="shared" ref="M67:M72" si="10">A67</f>
        <v>BXX_SLP3_DM1_PB_AE_RN</v>
      </c>
      <c r="N67" t="s">
        <v>14</v>
      </c>
      <c r="O67" s="4" t="str">
        <f t="shared" ref="O67:O72" si="11">C67</f>
        <v>BXX Pump 3 Alarms Disabled Reason</v>
      </c>
    </row>
    <row r="68" spans="1:16" x14ac:dyDescent="0.25">
      <c r="A68" s="4" t="str">
        <f>$A$3&amp;"_PB_ES_SR"</f>
        <v>BXX_SLP3_DM1_PB_ES_SR</v>
      </c>
      <c r="B68" s="4" t="str">
        <f t="shared" si="8"/>
        <v>BXX_SLP3_DM1</v>
      </c>
      <c r="C68" s="4" t="str">
        <f>$C$3&amp;" E-Stop Disabled Reason"</f>
        <v>BXX Pump 3 E-Stop Disabled Reason</v>
      </c>
      <c r="D68" s="2">
        <f t="shared" si="9"/>
        <v>33</v>
      </c>
      <c r="E68" t="s">
        <v>14</v>
      </c>
      <c r="F68" t="s">
        <v>14</v>
      </c>
      <c r="G68">
        <v>0</v>
      </c>
      <c r="H68" t="s">
        <v>13</v>
      </c>
      <c r="I68">
        <v>131</v>
      </c>
      <c r="J68" t="s">
        <v>131</v>
      </c>
      <c r="K68" s="4" t="s">
        <v>630</v>
      </c>
      <c r="L68" t="s">
        <v>13</v>
      </c>
      <c r="M68" s="4" t="str">
        <f t="shared" si="10"/>
        <v>BXX_SLP3_DM1_PB_ES_SR</v>
      </c>
      <c r="N68" t="s">
        <v>14</v>
      </c>
      <c r="O68" s="4" t="str">
        <f t="shared" si="11"/>
        <v>BXX Pump 3 E-Stop Disabled Reason</v>
      </c>
    </row>
    <row r="69" spans="1:16" x14ac:dyDescent="0.25">
      <c r="A69" s="4" t="str">
        <f>$A$3&amp;"_PB_RA_SR"</f>
        <v>BXX_SLP3_DM1_PB_RA_SR</v>
      </c>
      <c r="B69" s="4" t="str">
        <f t="shared" si="8"/>
        <v>BXX_SLP3_DM1</v>
      </c>
      <c r="C69" s="4" t="str">
        <f>$C$3&amp;" Overload Disabled Reason"</f>
        <v>BXX Pump 3 Overload Disabled Reason</v>
      </c>
      <c r="D69" s="2">
        <f t="shared" si="9"/>
        <v>35</v>
      </c>
      <c r="E69" t="s">
        <v>14</v>
      </c>
      <c r="F69" t="s">
        <v>14</v>
      </c>
      <c r="G69">
        <v>0</v>
      </c>
      <c r="H69" t="s">
        <v>13</v>
      </c>
      <c r="I69">
        <v>131</v>
      </c>
      <c r="J69" t="s">
        <v>131</v>
      </c>
      <c r="K69" s="4" t="s">
        <v>630</v>
      </c>
      <c r="L69" t="s">
        <v>13</v>
      </c>
      <c r="M69" s="4" t="str">
        <f t="shared" si="10"/>
        <v>BXX_SLP3_DM1_PB_RA_SR</v>
      </c>
      <c r="N69" t="s">
        <v>14</v>
      </c>
      <c r="O69" s="4" t="str">
        <f t="shared" si="11"/>
        <v>BXX Pump 3 Overload Disabled Reason</v>
      </c>
    </row>
    <row r="70" spans="1:16" x14ac:dyDescent="0.25">
      <c r="A70" s="4" t="str">
        <f>$A$3&amp;"_PB_DF_SR"</f>
        <v>BXX_SLP3_DM1_PB_DF_SR</v>
      </c>
      <c r="B70" s="4" t="str">
        <f t="shared" si="8"/>
        <v>BXX_SLP3_DM1</v>
      </c>
      <c r="C70" s="4" t="str">
        <f>$C$3&amp;" Not Ready Disabled Reason"</f>
        <v>BXX Pump 3 Not Ready Disabled Reason</v>
      </c>
      <c r="D70" s="2">
        <f t="shared" si="9"/>
        <v>36</v>
      </c>
      <c r="E70" t="s">
        <v>14</v>
      </c>
      <c r="F70" t="s">
        <v>14</v>
      </c>
      <c r="G70">
        <v>0</v>
      </c>
      <c r="H70" t="s">
        <v>13</v>
      </c>
      <c r="I70">
        <v>131</v>
      </c>
      <c r="J70" t="s">
        <v>131</v>
      </c>
      <c r="K70" s="4" t="s">
        <v>630</v>
      </c>
      <c r="L70" t="s">
        <v>13</v>
      </c>
      <c r="M70" s="4" t="str">
        <f t="shared" si="10"/>
        <v>BXX_SLP3_DM1_PB_DF_SR</v>
      </c>
      <c r="N70" t="s">
        <v>14</v>
      </c>
      <c r="O70" s="4" t="str">
        <f t="shared" si="11"/>
        <v>BXX Pump 3 Not Ready Disabled Reason</v>
      </c>
    </row>
    <row r="71" spans="1:16" x14ac:dyDescent="0.25">
      <c r="A71" s="4" t="str">
        <f>$A$3&amp;"_PB_GA_SR"</f>
        <v>BXX_SLP3_DM1_PB_GA_SR</v>
      </c>
      <c r="B71" s="4" t="str">
        <f t="shared" si="8"/>
        <v>BXX_SLP3_DM1</v>
      </c>
      <c r="C71" s="4" t="str">
        <f>$C$3&amp;" Soft Starter Fault Disabled Reason"</f>
        <v>BXX Pump 3 Soft Starter Fault Disabled Reason</v>
      </c>
      <c r="D71" s="2">
        <f t="shared" si="9"/>
        <v>45</v>
      </c>
      <c r="E71" t="s">
        <v>14</v>
      </c>
      <c r="F71" t="s">
        <v>14</v>
      </c>
      <c r="G71">
        <v>0</v>
      </c>
      <c r="H71" t="s">
        <v>13</v>
      </c>
      <c r="I71">
        <v>131</v>
      </c>
      <c r="J71" t="s">
        <v>131</v>
      </c>
      <c r="K71" s="4" t="s">
        <v>630</v>
      </c>
      <c r="L71" t="s">
        <v>13</v>
      </c>
      <c r="M71" s="4" t="str">
        <f t="shared" si="10"/>
        <v>BXX_SLP3_DM1_PB_GA_SR</v>
      </c>
      <c r="N71" t="s">
        <v>14</v>
      </c>
      <c r="O71" s="4" t="str">
        <f t="shared" si="11"/>
        <v>BXX Pump 3 Soft Starter Fault Disabled Reason</v>
      </c>
    </row>
    <row r="72" spans="1:16" x14ac:dyDescent="0.25">
      <c r="A72" s="4" t="str">
        <f>$A$3&amp;"_PB_TA_SR"</f>
        <v>BXX_SLP3_DM1_PB_TA_SR</v>
      </c>
      <c r="B72" s="4" t="str">
        <f t="shared" si="8"/>
        <v>BXX_SLP3_DM1</v>
      </c>
      <c r="C72" s="4" t="str">
        <f>$C$3&amp;" Temp/Leak Disabled Reason"</f>
        <v>BXX Pump 3 Temp/Leak Disabled Reason</v>
      </c>
      <c r="D72" s="2">
        <f t="shared" si="9"/>
        <v>36</v>
      </c>
      <c r="E72" t="s">
        <v>14</v>
      </c>
      <c r="F72" t="s">
        <v>14</v>
      </c>
      <c r="G72">
        <v>0</v>
      </c>
      <c r="H72" t="s">
        <v>13</v>
      </c>
      <c r="I72">
        <v>131</v>
      </c>
      <c r="J72" t="s">
        <v>131</v>
      </c>
      <c r="K72" s="4" t="s">
        <v>630</v>
      </c>
      <c r="L72" t="s">
        <v>13</v>
      </c>
      <c r="M72" s="4" t="str">
        <f t="shared" si="10"/>
        <v>BXX_SLP3_DM1_PB_TA_SR</v>
      </c>
      <c r="N72" t="s">
        <v>14</v>
      </c>
      <c r="O72" s="4" t="str">
        <f t="shared" si="11"/>
        <v>BXX Pump 3 Temp/Leak Disabled Reason</v>
      </c>
    </row>
    <row r="73" spans="1:16" x14ac:dyDescent="0.25">
      <c r="A73" t="s">
        <v>560</v>
      </c>
      <c r="B73" t="s">
        <v>16</v>
      </c>
      <c r="C73" t="s">
        <v>17</v>
      </c>
      <c r="D73" s="2">
        <f t="shared" si="9"/>
        <v>7</v>
      </c>
      <c r="E73" t="s">
        <v>18</v>
      </c>
      <c r="F73" t="s">
        <v>19</v>
      </c>
      <c r="G73" t="s">
        <v>40</v>
      </c>
      <c r="H73" t="s">
        <v>53</v>
      </c>
    </row>
    <row r="74" spans="1:16" x14ac:dyDescent="0.25">
      <c r="A74" s="5" t="s">
        <v>437</v>
      </c>
      <c r="B74" t="s">
        <v>127</v>
      </c>
      <c r="C74" t="s">
        <v>199</v>
      </c>
      <c r="D74" s="2">
        <f t="shared" si="9"/>
        <v>34</v>
      </c>
      <c r="E74" t="s">
        <v>14</v>
      </c>
      <c r="F74">
        <v>0</v>
      </c>
      <c r="G74" t="s">
        <v>14</v>
      </c>
    </row>
    <row r="75" spans="1:16" x14ac:dyDescent="0.25">
      <c r="A75" s="5" t="s">
        <v>562</v>
      </c>
      <c r="B75" t="s">
        <v>127</v>
      </c>
      <c r="C75" t="s">
        <v>200</v>
      </c>
      <c r="D75" s="2">
        <f t="shared" si="9"/>
        <v>38</v>
      </c>
      <c r="E75" t="s">
        <v>14</v>
      </c>
      <c r="F75">
        <v>0</v>
      </c>
      <c r="G75" t="s">
        <v>14</v>
      </c>
    </row>
    <row r="76" spans="1:16" x14ac:dyDescent="0.25">
      <c r="A76" s="5" t="s">
        <v>563</v>
      </c>
      <c r="B76" t="s">
        <v>127</v>
      </c>
      <c r="C76" t="s">
        <v>201</v>
      </c>
      <c r="D76" s="2">
        <f t="shared" si="9"/>
        <v>40</v>
      </c>
      <c r="E76" t="s">
        <v>14</v>
      </c>
      <c r="F76">
        <v>0</v>
      </c>
      <c r="G76" t="s">
        <v>14</v>
      </c>
    </row>
    <row r="77" spans="1:16" x14ac:dyDescent="0.25">
      <c r="A77" s="5" t="s">
        <v>564</v>
      </c>
      <c r="B77" t="s">
        <v>127</v>
      </c>
      <c r="C77" t="s">
        <v>202</v>
      </c>
      <c r="D77" s="2">
        <f t="shared" si="9"/>
        <v>28</v>
      </c>
      <c r="E77" t="s">
        <v>14</v>
      </c>
      <c r="F77">
        <v>0</v>
      </c>
      <c r="G77" t="s">
        <v>14</v>
      </c>
    </row>
    <row r="78" spans="1:16" x14ac:dyDescent="0.25">
      <c r="A78" s="5" t="s">
        <v>565</v>
      </c>
      <c r="B78" t="s">
        <v>127</v>
      </c>
      <c r="C78" t="s">
        <v>203</v>
      </c>
      <c r="D78" s="2">
        <f t="shared" si="9"/>
        <v>42</v>
      </c>
      <c r="E78" t="s">
        <v>14</v>
      </c>
      <c r="F78">
        <v>0</v>
      </c>
      <c r="G78" t="s">
        <v>14</v>
      </c>
    </row>
    <row r="79" spans="1:16" x14ac:dyDescent="0.25">
      <c r="A79" s="5" t="s">
        <v>566</v>
      </c>
      <c r="B79" t="s">
        <v>127</v>
      </c>
      <c r="C79" t="s">
        <v>204</v>
      </c>
      <c r="D79" s="2">
        <f t="shared" si="9"/>
        <v>40</v>
      </c>
      <c r="E79" t="s">
        <v>14</v>
      </c>
      <c r="F79">
        <v>0</v>
      </c>
      <c r="G79" t="s">
        <v>14</v>
      </c>
    </row>
    <row r="80" spans="1:16" x14ac:dyDescent="0.25">
      <c r="A80" s="5" t="s">
        <v>567</v>
      </c>
      <c r="B80" t="s">
        <v>127</v>
      </c>
      <c r="C80" t="s">
        <v>205</v>
      </c>
      <c r="D80" s="2">
        <f t="shared" si="9"/>
        <v>35</v>
      </c>
      <c r="E80" t="s">
        <v>14</v>
      </c>
      <c r="F80">
        <v>0</v>
      </c>
      <c r="G80" t="s">
        <v>14</v>
      </c>
    </row>
    <row r="81" spans="1:7" x14ac:dyDescent="0.25">
      <c r="A81" s="5" t="s">
        <v>568</v>
      </c>
      <c r="B81" t="s">
        <v>127</v>
      </c>
      <c r="C81" t="s">
        <v>206</v>
      </c>
      <c r="D81" s="2">
        <f t="shared" si="9"/>
        <v>30</v>
      </c>
      <c r="E81" t="s">
        <v>14</v>
      </c>
      <c r="F81">
        <v>0</v>
      </c>
      <c r="G81" t="s">
        <v>14</v>
      </c>
    </row>
    <row r="82" spans="1:7" x14ac:dyDescent="0.25">
      <c r="A82" s="5" t="s">
        <v>569</v>
      </c>
      <c r="B82" t="s">
        <v>127</v>
      </c>
      <c r="C82" t="s">
        <v>207</v>
      </c>
      <c r="D82" s="2">
        <f t="shared" si="9"/>
        <v>31</v>
      </c>
      <c r="E82" t="s">
        <v>14</v>
      </c>
      <c r="F82">
        <v>0</v>
      </c>
      <c r="G82" t="s">
        <v>14</v>
      </c>
    </row>
    <row r="83" spans="1:7" x14ac:dyDescent="0.25">
      <c r="A83" s="5" t="s">
        <v>570</v>
      </c>
      <c r="B83" t="s">
        <v>127</v>
      </c>
      <c r="C83" t="s">
        <v>208</v>
      </c>
      <c r="D83" s="2">
        <f t="shared" si="9"/>
        <v>40</v>
      </c>
      <c r="E83" t="s">
        <v>14</v>
      </c>
      <c r="F83">
        <v>0</v>
      </c>
      <c r="G83" t="s">
        <v>14</v>
      </c>
    </row>
    <row r="84" spans="1:7" x14ac:dyDescent="0.25">
      <c r="A84" s="5" t="s">
        <v>571</v>
      </c>
      <c r="B84" t="s">
        <v>127</v>
      </c>
      <c r="C84" t="s">
        <v>209</v>
      </c>
      <c r="D84" s="2">
        <f t="shared" si="9"/>
        <v>38</v>
      </c>
      <c r="E84" t="s">
        <v>14</v>
      </c>
      <c r="F84">
        <v>0</v>
      </c>
      <c r="G84" t="s">
        <v>14</v>
      </c>
    </row>
    <row r="85" spans="1:7" x14ac:dyDescent="0.25">
      <c r="A85" s="5" t="s">
        <v>572</v>
      </c>
      <c r="B85" t="s">
        <v>127</v>
      </c>
      <c r="C85" t="s">
        <v>210</v>
      </c>
      <c r="D85" s="2">
        <f t="shared" si="9"/>
        <v>38</v>
      </c>
      <c r="E85" t="s">
        <v>14</v>
      </c>
      <c r="F85">
        <v>0</v>
      </c>
      <c r="G85" t="s">
        <v>14</v>
      </c>
    </row>
    <row r="86" spans="1:7" x14ac:dyDescent="0.25">
      <c r="A86" s="5" t="s">
        <v>573</v>
      </c>
      <c r="B86" t="s">
        <v>127</v>
      </c>
      <c r="C86" t="s">
        <v>211</v>
      </c>
      <c r="D86" s="2">
        <f t="shared" si="9"/>
        <v>39</v>
      </c>
      <c r="E86" t="s">
        <v>14</v>
      </c>
      <c r="F86">
        <v>0</v>
      </c>
      <c r="G86" t="s">
        <v>14</v>
      </c>
    </row>
    <row r="87" spans="1:7" x14ac:dyDescent="0.25">
      <c r="A87" s="5" t="s">
        <v>574</v>
      </c>
      <c r="B87" t="s">
        <v>127</v>
      </c>
      <c r="C87" t="s">
        <v>212</v>
      </c>
      <c r="D87" s="2">
        <f t="shared" si="9"/>
        <v>29</v>
      </c>
      <c r="E87" t="s">
        <v>14</v>
      </c>
      <c r="F87">
        <v>0</v>
      </c>
      <c r="G87" t="s">
        <v>14</v>
      </c>
    </row>
    <row r="88" spans="1:7" x14ac:dyDescent="0.25">
      <c r="A88" s="5" t="s">
        <v>470</v>
      </c>
      <c r="B88" t="s">
        <v>127</v>
      </c>
      <c r="C88" t="s">
        <v>213</v>
      </c>
      <c r="D88" s="2">
        <f t="shared" si="9"/>
        <v>41</v>
      </c>
      <c r="E88" t="s">
        <v>14</v>
      </c>
      <c r="F88">
        <v>0</v>
      </c>
      <c r="G88" t="s">
        <v>14</v>
      </c>
    </row>
    <row r="89" spans="1:7" x14ac:dyDescent="0.25">
      <c r="A89" s="5" t="s">
        <v>471</v>
      </c>
      <c r="B89" t="s">
        <v>127</v>
      </c>
      <c r="C89" t="s">
        <v>214</v>
      </c>
      <c r="D89" s="2">
        <f t="shared" si="9"/>
        <v>43</v>
      </c>
      <c r="E89" t="s">
        <v>14</v>
      </c>
      <c r="F89">
        <v>0</v>
      </c>
      <c r="G89" t="s">
        <v>14</v>
      </c>
    </row>
    <row r="90" spans="1:7" x14ac:dyDescent="0.25">
      <c r="A90" s="5" t="s">
        <v>472</v>
      </c>
      <c r="B90" t="s">
        <v>127</v>
      </c>
      <c r="C90" t="s">
        <v>215</v>
      </c>
      <c r="D90" s="2">
        <f t="shared" si="9"/>
        <v>44</v>
      </c>
      <c r="E90" t="s">
        <v>14</v>
      </c>
      <c r="F90">
        <v>0</v>
      </c>
      <c r="G90" t="s">
        <v>14</v>
      </c>
    </row>
    <row r="91" spans="1:7" x14ac:dyDescent="0.25">
      <c r="A91" s="5" t="s">
        <v>473</v>
      </c>
      <c r="B91" t="s">
        <v>127</v>
      </c>
      <c r="C91" t="s">
        <v>216</v>
      </c>
      <c r="D91" s="2">
        <f t="shared" si="9"/>
        <v>34</v>
      </c>
      <c r="E91" t="s">
        <v>14</v>
      </c>
      <c r="F91">
        <v>0</v>
      </c>
      <c r="G91" t="s">
        <v>14</v>
      </c>
    </row>
    <row r="92" spans="1:7" x14ac:dyDescent="0.25">
      <c r="A92" s="5" t="s">
        <v>474</v>
      </c>
      <c r="B92" t="s">
        <v>127</v>
      </c>
      <c r="C92" t="s">
        <v>217</v>
      </c>
      <c r="D92" s="2">
        <f t="shared" si="9"/>
        <v>44</v>
      </c>
      <c r="E92" t="s">
        <v>14</v>
      </c>
      <c r="F92">
        <v>0</v>
      </c>
      <c r="G92" t="s">
        <v>14</v>
      </c>
    </row>
    <row r="93" spans="1:7" x14ac:dyDescent="0.25">
      <c r="A93" s="5" t="s">
        <v>475</v>
      </c>
      <c r="B93" t="s">
        <v>127</v>
      </c>
      <c r="C93" t="s">
        <v>218</v>
      </c>
      <c r="D93" s="2">
        <f t="shared" si="9"/>
        <v>33</v>
      </c>
      <c r="E93" t="s">
        <v>14</v>
      </c>
      <c r="F93">
        <v>0</v>
      </c>
      <c r="G93" t="s">
        <v>14</v>
      </c>
    </row>
    <row r="94" spans="1:7" x14ac:dyDescent="0.25">
      <c r="A94" s="5" t="s">
        <v>476</v>
      </c>
      <c r="B94" t="s">
        <v>127</v>
      </c>
      <c r="C94" t="s">
        <v>219</v>
      </c>
      <c r="D94" s="2">
        <f t="shared" si="9"/>
        <v>35</v>
      </c>
      <c r="E94" t="s">
        <v>14</v>
      </c>
      <c r="F94">
        <v>0</v>
      </c>
      <c r="G94" t="s">
        <v>14</v>
      </c>
    </row>
    <row r="95" spans="1:7" x14ac:dyDescent="0.25">
      <c r="A95" s="5" t="s">
        <v>477</v>
      </c>
      <c r="B95" t="s">
        <v>127</v>
      </c>
      <c r="C95" t="s">
        <v>220</v>
      </c>
      <c r="D95" s="2">
        <f t="shared" si="9"/>
        <v>38</v>
      </c>
      <c r="E95" t="s">
        <v>14</v>
      </c>
      <c r="F95">
        <v>0</v>
      </c>
      <c r="G95" t="s">
        <v>14</v>
      </c>
    </row>
    <row r="96" spans="1:7" x14ac:dyDescent="0.25">
      <c r="A96" s="5" t="s">
        <v>478</v>
      </c>
      <c r="B96" t="s">
        <v>127</v>
      </c>
      <c r="C96" t="s">
        <v>221</v>
      </c>
      <c r="D96" s="2">
        <f t="shared" si="9"/>
        <v>37</v>
      </c>
      <c r="E96" t="s">
        <v>14</v>
      </c>
      <c r="F96">
        <v>0</v>
      </c>
      <c r="G96" t="s">
        <v>14</v>
      </c>
    </row>
    <row r="97" spans="1:8" x14ac:dyDescent="0.25">
      <c r="A97" s="5" t="s">
        <v>479</v>
      </c>
      <c r="B97" t="s">
        <v>127</v>
      </c>
      <c r="C97" t="s">
        <v>222</v>
      </c>
      <c r="D97" s="2">
        <f t="shared" si="9"/>
        <v>40</v>
      </c>
      <c r="E97" t="s">
        <v>14</v>
      </c>
      <c r="F97">
        <v>0</v>
      </c>
      <c r="G97" t="s">
        <v>14</v>
      </c>
    </row>
    <row r="98" spans="1:8" x14ac:dyDescent="0.25">
      <c r="A98" s="5" t="s">
        <v>576</v>
      </c>
      <c r="B98" t="s">
        <v>127</v>
      </c>
      <c r="C98" t="s">
        <v>223</v>
      </c>
      <c r="D98" s="2">
        <f t="shared" si="9"/>
        <v>41</v>
      </c>
      <c r="E98" t="s">
        <v>14</v>
      </c>
      <c r="F98">
        <v>0</v>
      </c>
      <c r="G98" t="s">
        <v>14</v>
      </c>
    </row>
    <row r="99" spans="1:8" x14ac:dyDescent="0.25">
      <c r="A99" s="5" t="s">
        <v>577</v>
      </c>
      <c r="B99" t="s">
        <v>127</v>
      </c>
      <c r="C99" t="s">
        <v>224</v>
      </c>
      <c r="D99" s="2">
        <f t="shared" si="9"/>
        <v>36</v>
      </c>
      <c r="E99" t="s">
        <v>14</v>
      </c>
      <c r="F99">
        <v>0</v>
      </c>
      <c r="G99" t="s">
        <v>14</v>
      </c>
    </row>
    <row r="100" spans="1:8" x14ac:dyDescent="0.25">
      <c r="A100" s="5" t="s">
        <v>578</v>
      </c>
      <c r="B100" t="s">
        <v>127</v>
      </c>
      <c r="C100" t="s">
        <v>225</v>
      </c>
      <c r="D100" s="2">
        <f t="shared" si="9"/>
        <v>48</v>
      </c>
      <c r="E100" t="s">
        <v>14</v>
      </c>
      <c r="F100">
        <v>0</v>
      </c>
      <c r="G100" t="s">
        <v>14</v>
      </c>
    </row>
    <row r="101" spans="1:8" x14ac:dyDescent="0.25">
      <c r="A101" s="5" t="s">
        <v>579</v>
      </c>
      <c r="B101" t="s">
        <v>127</v>
      </c>
      <c r="C101" t="s">
        <v>226</v>
      </c>
      <c r="D101" s="2">
        <f t="shared" si="9"/>
        <v>40</v>
      </c>
      <c r="E101" t="s">
        <v>14</v>
      </c>
      <c r="F101">
        <v>0</v>
      </c>
      <c r="G101" t="s">
        <v>14</v>
      </c>
    </row>
    <row r="102" spans="1:8" x14ac:dyDescent="0.25">
      <c r="A102" s="5" t="s">
        <v>580</v>
      </c>
      <c r="B102" t="s">
        <v>127</v>
      </c>
      <c r="C102" t="s">
        <v>227</v>
      </c>
      <c r="D102" s="2">
        <f t="shared" si="9"/>
        <v>43</v>
      </c>
      <c r="E102" t="s">
        <v>14</v>
      </c>
      <c r="F102">
        <v>0</v>
      </c>
      <c r="G102" t="s">
        <v>14</v>
      </c>
    </row>
    <row r="103" spans="1:8" x14ac:dyDescent="0.25">
      <c r="A103" s="5" t="s">
        <v>581</v>
      </c>
      <c r="B103" t="s">
        <v>127</v>
      </c>
      <c r="C103" t="s">
        <v>228</v>
      </c>
      <c r="D103" s="2">
        <f t="shared" si="9"/>
        <v>47</v>
      </c>
      <c r="E103" t="s">
        <v>14</v>
      </c>
      <c r="F103">
        <v>0</v>
      </c>
      <c r="G103" t="s">
        <v>14</v>
      </c>
    </row>
    <row r="104" spans="1:8" x14ac:dyDescent="0.25">
      <c r="A104" t="s">
        <v>561</v>
      </c>
      <c r="B104" t="s">
        <v>16</v>
      </c>
      <c r="C104" t="s">
        <v>17</v>
      </c>
      <c r="D104" s="2">
        <f t="shared" si="9"/>
        <v>7</v>
      </c>
      <c r="E104" t="s">
        <v>18</v>
      </c>
      <c r="F104" t="s">
        <v>19</v>
      </c>
      <c r="G104" t="s">
        <v>40</v>
      </c>
      <c r="H104" t="s">
        <v>53</v>
      </c>
    </row>
    <row r="105" spans="1:8" x14ac:dyDescent="0.25">
      <c r="A105" s="5" t="s">
        <v>229</v>
      </c>
      <c r="B105" t="s">
        <v>127</v>
      </c>
      <c r="C105" t="s">
        <v>230</v>
      </c>
      <c r="D105" s="2">
        <f t="shared" si="9"/>
        <v>42</v>
      </c>
      <c r="E105" t="s">
        <v>14</v>
      </c>
      <c r="F105">
        <v>0</v>
      </c>
      <c r="G105" t="s">
        <v>14</v>
      </c>
    </row>
    <row r="106" spans="1:8" x14ac:dyDescent="0.25">
      <c r="A106" s="5" t="s">
        <v>231</v>
      </c>
      <c r="B106" t="s">
        <v>127</v>
      </c>
      <c r="C106" t="s">
        <v>232</v>
      </c>
      <c r="D106" s="2">
        <f t="shared" si="9"/>
        <v>42</v>
      </c>
      <c r="E106" t="s">
        <v>14</v>
      </c>
      <c r="F106">
        <v>0</v>
      </c>
      <c r="G106" t="s">
        <v>14</v>
      </c>
    </row>
    <row r="107" spans="1:8" x14ac:dyDescent="0.25">
      <c r="A107" s="5" t="s">
        <v>233</v>
      </c>
      <c r="B107" t="s">
        <v>127</v>
      </c>
      <c r="C107" t="s">
        <v>234</v>
      </c>
      <c r="D107" s="2">
        <f t="shared" si="9"/>
        <v>37</v>
      </c>
      <c r="E107" t="s">
        <v>14</v>
      </c>
      <c r="F107">
        <v>0</v>
      </c>
      <c r="G107" t="s">
        <v>14</v>
      </c>
    </row>
    <row r="108" spans="1:8" x14ac:dyDescent="0.25">
      <c r="A108" s="5" t="s">
        <v>504</v>
      </c>
      <c r="B108" t="s">
        <v>127</v>
      </c>
      <c r="C108" t="s">
        <v>235</v>
      </c>
      <c r="D108" s="2">
        <f t="shared" si="9"/>
        <v>33</v>
      </c>
      <c r="E108" t="s">
        <v>14</v>
      </c>
      <c r="F108">
        <v>0</v>
      </c>
      <c r="G108" t="s">
        <v>14</v>
      </c>
    </row>
    <row r="109" spans="1:8" x14ac:dyDescent="0.25">
      <c r="A109" s="5" t="s">
        <v>505</v>
      </c>
      <c r="B109" t="s">
        <v>127</v>
      </c>
      <c r="C109" t="s">
        <v>236</v>
      </c>
      <c r="D109" s="2">
        <f t="shared" si="9"/>
        <v>44</v>
      </c>
      <c r="E109" t="s">
        <v>14</v>
      </c>
      <c r="F109">
        <v>0</v>
      </c>
      <c r="G109" t="s">
        <v>14</v>
      </c>
    </row>
    <row r="110" spans="1:8" x14ac:dyDescent="0.25">
      <c r="A110" s="5" t="s">
        <v>491</v>
      </c>
      <c r="B110" t="s">
        <v>127</v>
      </c>
      <c r="C110" t="s">
        <v>237</v>
      </c>
      <c r="D110" s="2">
        <f t="shared" si="9"/>
        <v>41</v>
      </c>
      <c r="E110" t="s">
        <v>14</v>
      </c>
      <c r="F110">
        <v>0</v>
      </c>
      <c r="G110" t="s">
        <v>14</v>
      </c>
    </row>
    <row r="111" spans="1:8" x14ac:dyDescent="0.25">
      <c r="A111" s="5" t="s">
        <v>492</v>
      </c>
      <c r="B111" t="s">
        <v>127</v>
      </c>
      <c r="C111" t="s">
        <v>238</v>
      </c>
      <c r="D111" s="2">
        <f t="shared" si="9"/>
        <v>37</v>
      </c>
      <c r="E111" t="s">
        <v>14</v>
      </c>
      <c r="F111">
        <v>0</v>
      </c>
      <c r="G111" t="s">
        <v>14</v>
      </c>
    </row>
    <row r="112" spans="1:8" x14ac:dyDescent="0.25">
      <c r="A112" s="5" t="s">
        <v>575</v>
      </c>
      <c r="B112" t="s">
        <v>127</v>
      </c>
      <c r="C112" t="s">
        <v>239</v>
      </c>
      <c r="D112" s="2">
        <f t="shared" si="9"/>
        <v>23</v>
      </c>
      <c r="E112" t="s">
        <v>14</v>
      </c>
      <c r="F112">
        <v>0</v>
      </c>
      <c r="G112" t="s">
        <v>14</v>
      </c>
    </row>
    <row r="113" spans="1:7" x14ac:dyDescent="0.25">
      <c r="A113" s="5" t="s">
        <v>617</v>
      </c>
      <c r="B113" t="s">
        <v>127</v>
      </c>
      <c r="C113" t="s">
        <v>240</v>
      </c>
      <c r="D113" s="2">
        <f t="shared" si="9"/>
        <v>31</v>
      </c>
      <c r="E113" t="s">
        <v>14</v>
      </c>
      <c r="F113">
        <v>0</v>
      </c>
      <c r="G113" t="s">
        <v>14</v>
      </c>
    </row>
    <row r="114" spans="1:7" x14ac:dyDescent="0.25">
      <c r="A114" s="5" t="s">
        <v>618</v>
      </c>
      <c r="B114" t="s">
        <v>127</v>
      </c>
      <c r="C114" t="s">
        <v>241</v>
      </c>
      <c r="D114" s="2">
        <f t="shared" si="9"/>
        <v>31</v>
      </c>
      <c r="E114" t="s">
        <v>14</v>
      </c>
      <c r="F114">
        <v>0</v>
      </c>
      <c r="G114" t="s">
        <v>14</v>
      </c>
    </row>
    <row r="115" spans="1:7" x14ac:dyDescent="0.25">
      <c r="A115" s="5" t="s">
        <v>619</v>
      </c>
      <c r="B115" t="s">
        <v>127</v>
      </c>
      <c r="C115" t="s">
        <v>242</v>
      </c>
      <c r="D115" s="2">
        <f t="shared" si="9"/>
        <v>42</v>
      </c>
      <c r="E115" t="s">
        <v>14</v>
      </c>
      <c r="F115">
        <v>0</v>
      </c>
      <c r="G115" t="s">
        <v>14</v>
      </c>
    </row>
    <row r="116" spans="1:7" x14ac:dyDescent="0.25">
      <c r="A116" s="5" t="s">
        <v>620</v>
      </c>
      <c r="B116" t="s">
        <v>127</v>
      </c>
      <c r="C116" t="s">
        <v>243</v>
      </c>
      <c r="D116" s="2">
        <f t="shared" si="9"/>
        <v>45</v>
      </c>
      <c r="E116" t="s">
        <v>14</v>
      </c>
      <c r="F116">
        <v>0</v>
      </c>
      <c r="G116" t="s">
        <v>14</v>
      </c>
    </row>
    <row r="117" spans="1:7" x14ac:dyDescent="0.25">
      <c r="A117" s="5" t="s">
        <v>621</v>
      </c>
      <c r="B117" t="s">
        <v>127</v>
      </c>
      <c r="C117" t="s">
        <v>244</v>
      </c>
      <c r="D117" s="2">
        <f t="shared" si="9"/>
        <v>48</v>
      </c>
      <c r="E117" t="s">
        <v>14</v>
      </c>
      <c r="F117">
        <v>0</v>
      </c>
      <c r="G117" t="s">
        <v>14</v>
      </c>
    </row>
    <row r="118" spans="1:7" x14ac:dyDescent="0.25">
      <c r="A118" s="5" t="s">
        <v>582</v>
      </c>
      <c r="B118" t="s">
        <v>127</v>
      </c>
      <c r="C118" t="s">
        <v>245</v>
      </c>
      <c r="D118" s="2">
        <f t="shared" si="9"/>
        <v>49</v>
      </c>
      <c r="E118" t="s">
        <v>14</v>
      </c>
      <c r="F118">
        <v>0</v>
      </c>
      <c r="G118" t="s">
        <v>14</v>
      </c>
    </row>
    <row r="119" spans="1:7" x14ac:dyDescent="0.25">
      <c r="A119" s="5" t="s">
        <v>583</v>
      </c>
      <c r="B119" t="s">
        <v>127</v>
      </c>
      <c r="C119" t="s">
        <v>246</v>
      </c>
      <c r="D119" s="2">
        <f t="shared" si="9"/>
        <v>49</v>
      </c>
      <c r="E119" t="s">
        <v>14</v>
      </c>
      <c r="F119">
        <v>0</v>
      </c>
      <c r="G119" t="s">
        <v>14</v>
      </c>
    </row>
    <row r="120" spans="1:7" x14ac:dyDescent="0.25">
      <c r="A120" s="5" t="s">
        <v>584</v>
      </c>
      <c r="B120" t="s">
        <v>127</v>
      </c>
      <c r="C120" t="s">
        <v>234</v>
      </c>
      <c r="D120" s="2">
        <f t="shared" si="9"/>
        <v>37</v>
      </c>
      <c r="E120" t="s">
        <v>14</v>
      </c>
      <c r="F120">
        <v>0</v>
      </c>
      <c r="G120" t="s">
        <v>14</v>
      </c>
    </row>
    <row r="121" spans="1:7" x14ac:dyDescent="0.25">
      <c r="A121" s="5" t="s">
        <v>585</v>
      </c>
      <c r="B121" t="s">
        <v>127</v>
      </c>
      <c r="C121" t="s">
        <v>247</v>
      </c>
      <c r="D121" s="2">
        <f t="shared" si="9"/>
        <v>28</v>
      </c>
      <c r="E121" t="s">
        <v>14</v>
      </c>
      <c r="F121">
        <v>0</v>
      </c>
      <c r="G121" t="s">
        <v>14</v>
      </c>
    </row>
    <row r="122" spans="1:7" x14ac:dyDescent="0.25">
      <c r="A122" s="5" t="s">
        <v>586</v>
      </c>
      <c r="B122" t="s">
        <v>127</v>
      </c>
      <c r="C122" t="s">
        <v>248</v>
      </c>
      <c r="D122" s="2">
        <f t="shared" si="9"/>
        <v>48</v>
      </c>
      <c r="E122" t="s">
        <v>14</v>
      </c>
      <c r="F122">
        <v>0</v>
      </c>
      <c r="G122" t="s">
        <v>14</v>
      </c>
    </row>
    <row r="123" spans="1:7" x14ac:dyDescent="0.25">
      <c r="A123" s="5" t="s">
        <v>587</v>
      </c>
      <c r="B123" t="s">
        <v>127</v>
      </c>
      <c r="C123" t="s">
        <v>249</v>
      </c>
      <c r="D123" s="2">
        <f t="shared" si="9"/>
        <v>42</v>
      </c>
      <c r="E123" t="s">
        <v>14</v>
      </c>
      <c r="F123">
        <v>0</v>
      </c>
      <c r="G123" t="s">
        <v>14</v>
      </c>
    </row>
    <row r="124" spans="1:7" x14ac:dyDescent="0.25">
      <c r="A124" s="5" t="s">
        <v>588</v>
      </c>
      <c r="B124" t="s">
        <v>127</v>
      </c>
      <c r="C124" t="s">
        <v>250</v>
      </c>
      <c r="D124" s="2">
        <f t="shared" si="9"/>
        <v>45</v>
      </c>
      <c r="E124" t="s">
        <v>14</v>
      </c>
      <c r="F124">
        <v>0</v>
      </c>
      <c r="G124" t="s">
        <v>14</v>
      </c>
    </row>
    <row r="125" spans="1:7" x14ac:dyDescent="0.25">
      <c r="A125" s="5" t="s">
        <v>589</v>
      </c>
      <c r="B125" t="s">
        <v>127</v>
      </c>
      <c r="C125" t="s">
        <v>251</v>
      </c>
      <c r="D125" s="2">
        <f t="shared" si="9"/>
        <v>38</v>
      </c>
      <c r="E125" t="s">
        <v>14</v>
      </c>
      <c r="F125">
        <v>0</v>
      </c>
      <c r="G125" t="s">
        <v>14</v>
      </c>
    </row>
    <row r="126" spans="1:7" x14ac:dyDescent="0.25">
      <c r="A126" s="5" t="s">
        <v>623</v>
      </c>
      <c r="B126" t="s">
        <v>127</v>
      </c>
      <c r="C126" t="s">
        <v>252</v>
      </c>
      <c r="D126" s="2">
        <f t="shared" si="9"/>
        <v>39</v>
      </c>
      <c r="E126" t="s">
        <v>14</v>
      </c>
      <c r="F126">
        <v>0</v>
      </c>
      <c r="G126" t="s">
        <v>14</v>
      </c>
    </row>
    <row r="127" spans="1:7" x14ac:dyDescent="0.25">
      <c r="A127" s="5" t="s">
        <v>624</v>
      </c>
      <c r="B127" t="s">
        <v>127</v>
      </c>
      <c r="C127" t="s">
        <v>253</v>
      </c>
      <c r="D127" s="2">
        <f t="shared" si="9"/>
        <v>34</v>
      </c>
      <c r="E127" t="s">
        <v>14</v>
      </c>
      <c r="F127">
        <v>0</v>
      </c>
      <c r="G127" t="s">
        <v>14</v>
      </c>
    </row>
    <row r="128" spans="1:7" x14ac:dyDescent="0.25">
      <c r="A128" s="5" t="s">
        <v>625</v>
      </c>
      <c r="B128" t="s">
        <v>127</v>
      </c>
      <c r="C128" t="s">
        <v>254</v>
      </c>
      <c r="D128" s="2">
        <f t="shared" si="9"/>
        <v>44</v>
      </c>
      <c r="E128" t="s">
        <v>14</v>
      </c>
      <c r="F128">
        <v>0</v>
      </c>
      <c r="G128" t="s">
        <v>14</v>
      </c>
    </row>
    <row r="129" spans="1:8" x14ac:dyDescent="0.25">
      <c r="A129" s="5" t="s">
        <v>626</v>
      </c>
      <c r="B129" t="s">
        <v>127</v>
      </c>
      <c r="C129" t="s">
        <v>255</v>
      </c>
      <c r="D129" s="2">
        <f t="shared" si="9"/>
        <v>43</v>
      </c>
      <c r="E129" t="s">
        <v>14</v>
      </c>
      <c r="F129">
        <v>0</v>
      </c>
      <c r="G129" t="s">
        <v>14</v>
      </c>
    </row>
    <row r="130" spans="1:8" x14ac:dyDescent="0.25">
      <c r="A130" s="5" t="s">
        <v>622</v>
      </c>
      <c r="B130" t="s">
        <v>127</v>
      </c>
      <c r="C130" t="s">
        <v>256</v>
      </c>
      <c r="D130" s="2">
        <f t="shared" si="9"/>
        <v>41</v>
      </c>
      <c r="E130" t="s">
        <v>14</v>
      </c>
      <c r="F130">
        <v>0</v>
      </c>
      <c r="G130" t="s">
        <v>14</v>
      </c>
    </row>
    <row r="131" spans="1:8" x14ac:dyDescent="0.25">
      <c r="A131" s="5" t="s">
        <v>591</v>
      </c>
      <c r="B131" t="s">
        <v>127</v>
      </c>
      <c r="C131" t="s">
        <v>257</v>
      </c>
      <c r="D131" s="2">
        <f t="shared" ref="D131:D135" si="12">LEN(C131)</f>
        <v>39</v>
      </c>
      <c r="E131" t="s">
        <v>14</v>
      </c>
      <c r="F131">
        <v>0</v>
      </c>
      <c r="G131" t="s">
        <v>14</v>
      </c>
    </row>
    <row r="132" spans="1:8" x14ac:dyDescent="0.25">
      <c r="A132" t="s">
        <v>559</v>
      </c>
      <c r="B132" t="s">
        <v>16</v>
      </c>
      <c r="C132" t="s">
        <v>17</v>
      </c>
      <c r="D132" s="2">
        <f t="shared" si="12"/>
        <v>7</v>
      </c>
      <c r="E132" t="s">
        <v>18</v>
      </c>
      <c r="F132" t="s">
        <v>19</v>
      </c>
      <c r="G132" t="s">
        <v>40</v>
      </c>
      <c r="H132" t="s">
        <v>53</v>
      </c>
    </row>
    <row r="133" spans="1:8" x14ac:dyDescent="0.25">
      <c r="A133" t="s">
        <v>258</v>
      </c>
      <c r="B133" t="s">
        <v>127</v>
      </c>
      <c r="C133" t="s">
        <v>259</v>
      </c>
      <c r="D133" s="2">
        <f t="shared" si="12"/>
        <v>36</v>
      </c>
      <c r="E133" t="s">
        <v>14</v>
      </c>
      <c r="F133">
        <v>0</v>
      </c>
      <c r="G133" t="s">
        <v>14</v>
      </c>
    </row>
    <row r="134" spans="1:8" x14ac:dyDescent="0.25">
      <c r="A134" t="s">
        <v>165</v>
      </c>
      <c r="B134" t="s">
        <v>16</v>
      </c>
      <c r="C134" t="s">
        <v>17</v>
      </c>
      <c r="D134" s="2">
        <f t="shared" si="12"/>
        <v>7</v>
      </c>
      <c r="E134" t="s">
        <v>53</v>
      </c>
    </row>
    <row r="135" spans="1:8" x14ac:dyDescent="0.25">
      <c r="A135" t="s">
        <v>590</v>
      </c>
      <c r="B135" t="s">
        <v>127</v>
      </c>
      <c r="C135" t="s">
        <v>260</v>
      </c>
      <c r="D135" s="2">
        <f t="shared" si="12"/>
        <v>21</v>
      </c>
    </row>
  </sheetData>
  <conditionalFormatting sqref="D28:D34 D12 D15:D25 D54:D56 D5 D7:D9 D36 D67:D135 D58:D65">
    <cfRule type="cellIs" dxfId="95" priority="26" operator="greaterThan">
      <formula>49</formula>
    </cfRule>
  </conditionalFormatting>
  <conditionalFormatting sqref="D11">
    <cfRule type="cellIs" dxfId="94" priority="25" operator="greaterThan">
      <formula>49</formula>
    </cfRule>
  </conditionalFormatting>
  <conditionalFormatting sqref="D3:D4">
    <cfRule type="cellIs" dxfId="93" priority="24" operator="greaterThan">
      <formula>49</formula>
    </cfRule>
  </conditionalFormatting>
  <conditionalFormatting sqref="D26">
    <cfRule type="cellIs" dxfId="92" priority="23" operator="greaterThan">
      <formula>49</formula>
    </cfRule>
  </conditionalFormatting>
  <conditionalFormatting sqref="D27">
    <cfRule type="cellIs" dxfId="91" priority="22" operator="greaterThan">
      <formula>49</formula>
    </cfRule>
  </conditionalFormatting>
  <conditionalFormatting sqref="D10">
    <cfRule type="cellIs" dxfId="90" priority="21" operator="greaterThan">
      <formula>49</formula>
    </cfRule>
  </conditionalFormatting>
  <conditionalFormatting sqref="D13">
    <cfRule type="cellIs" dxfId="89" priority="20" operator="greaterThan">
      <formula>49</formula>
    </cfRule>
  </conditionalFormatting>
  <conditionalFormatting sqref="D14">
    <cfRule type="cellIs" dxfId="88" priority="19" operator="greaterThan">
      <formula>49</formula>
    </cfRule>
  </conditionalFormatting>
  <conditionalFormatting sqref="D35">
    <cfRule type="cellIs" dxfId="87" priority="18" operator="greaterThan">
      <formula>49</formula>
    </cfRule>
  </conditionalFormatting>
  <conditionalFormatting sqref="D39">
    <cfRule type="cellIs" dxfId="86" priority="17" operator="greaterThan">
      <formula>49</formula>
    </cfRule>
  </conditionalFormatting>
  <conditionalFormatting sqref="D38">
    <cfRule type="cellIs" dxfId="85" priority="16" operator="greaterThan">
      <formula>49</formula>
    </cfRule>
  </conditionalFormatting>
  <conditionalFormatting sqref="D37">
    <cfRule type="cellIs" dxfId="84" priority="15" operator="greaterThan">
      <formula>49</formula>
    </cfRule>
  </conditionalFormatting>
  <conditionalFormatting sqref="D40">
    <cfRule type="cellIs" dxfId="83" priority="14" operator="greaterThan">
      <formula>49</formula>
    </cfRule>
  </conditionalFormatting>
  <conditionalFormatting sqref="D41">
    <cfRule type="cellIs" dxfId="82" priority="13" operator="greaterThan">
      <formula>49</formula>
    </cfRule>
  </conditionalFormatting>
  <conditionalFormatting sqref="D44">
    <cfRule type="cellIs" dxfId="81" priority="12" operator="greaterThan">
      <formula>49</formula>
    </cfRule>
  </conditionalFormatting>
  <conditionalFormatting sqref="D43">
    <cfRule type="cellIs" dxfId="80" priority="11" operator="greaterThan">
      <formula>49</formula>
    </cfRule>
  </conditionalFormatting>
  <conditionalFormatting sqref="D42">
    <cfRule type="cellIs" dxfId="79" priority="10" operator="greaterThan">
      <formula>49</formula>
    </cfRule>
  </conditionalFormatting>
  <conditionalFormatting sqref="D45">
    <cfRule type="cellIs" dxfId="78" priority="9" operator="greaterThan">
      <formula>49</formula>
    </cfRule>
  </conditionalFormatting>
  <conditionalFormatting sqref="D46">
    <cfRule type="cellIs" dxfId="77" priority="8" operator="greaterThan">
      <formula>49</formula>
    </cfRule>
  </conditionalFormatting>
  <conditionalFormatting sqref="D47">
    <cfRule type="cellIs" dxfId="76" priority="7" operator="greaterThan">
      <formula>49</formula>
    </cfRule>
  </conditionalFormatting>
  <conditionalFormatting sqref="D50">
    <cfRule type="cellIs" dxfId="75" priority="6" operator="greaterThan">
      <formula>49</formula>
    </cfRule>
  </conditionalFormatting>
  <conditionalFormatting sqref="D49">
    <cfRule type="cellIs" dxfId="74" priority="5" operator="greaterThan">
      <formula>49</formula>
    </cfRule>
  </conditionalFormatting>
  <conditionalFormatting sqref="D48">
    <cfRule type="cellIs" dxfId="73" priority="4" operator="greaterThan">
      <formula>49</formula>
    </cfRule>
  </conditionalFormatting>
  <conditionalFormatting sqref="D51">
    <cfRule type="cellIs" dxfId="72" priority="3" operator="greaterThan">
      <formula>49</formula>
    </cfRule>
  </conditionalFormatting>
  <conditionalFormatting sqref="D52">
    <cfRule type="cellIs" dxfId="71" priority="2" operator="greaterThan">
      <formula>49</formula>
    </cfRule>
  </conditionalFormatting>
  <conditionalFormatting sqref="D57">
    <cfRule type="cellIs" dxfId="70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4"/>
  <sheetViews>
    <sheetView view="pageBreakPreview" topLeftCell="A68" zoomScaleNormal="100" zoomScaleSheetLayoutView="100" workbookViewId="0">
      <selection activeCell="K91" sqref="K91"/>
    </sheetView>
  </sheetViews>
  <sheetFormatPr defaultRowHeight="15" x14ac:dyDescent="0.25"/>
  <cols>
    <col min="1" max="1" width="25.7109375" customWidth="1"/>
    <col min="2" max="2" width="14.5703125" bestFit="1" customWidth="1"/>
    <col min="3" max="3" width="41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8554687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71093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440</v>
      </c>
      <c r="B3" s="4" t="str">
        <f>BXXPLC1!A5</f>
        <v>BXX</v>
      </c>
      <c r="C3" s="3" t="s">
        <v>408</v>
      </c>
      <c r="D3" s="2">
        <f>LEN(C3)</f>
        <v>10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4" t="s">
        <v>417</v>
      </c>
      <c r="B5" s="4" t="str">
        <f>$A$3</f>
        <v>BXX_SLP4_VF1</v>
      </c>
      <c r="C5" s="4" t="str">
        <f>C3 &amp; " Speed"</f>
        <v>BXX Pump 4 Speed</v>
      </c>
      <c r="D5" s="2">
        <f>LEN(C5)</f>
        <v>16</v>
      </c>
      <c r="E5" t="s">
        <v>13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t="s">
        <v>436</v>
      </c>
      <c r="B6" t="s">
        <v>16</v>
      </c>
      <c r="C6" t="s">
        <v>17</v>
      </c>
      <c r="E6" t="s">
        <v>39</v>
      </c>
      <c r="F6" t="s">
        <v>18</v>
      </c>
      <c r="G6" t="s">
        <v>19</v>
      </c>
      <c r="H6" t="s">
        <v>40</v>
      </c>
      <c r="I6" t="s">
        <v>41</v>
      </c>
      <c r="J6" t="s">
        <v>42</v>
      </c>
      <c r="K6" t="s">
        <v>43</v>
      </c>
      <c r="L6" t="s">
        <v>44</v>
      </c>
      <c r="M6" t="s">
        <v>45</v>
      </c>
      <c r="N6" t="s">
        <v>51</v>
      </c>
      <c r="O6" t="s">
        <v>52</v>
      </c>
      <c r="P6" t="s">
        <v>27</v>
      </c>
      <c r="Q6" t="s">
        <v>35</v>
      </c>
      <c r="R6" t="s">
        <v>53</v>
      </c>
    </row>
    <row r="7" spans="1:23" x14ac:dyDescent="0.25">
      <c r="A7" s="5" t="s">
        <v>425</v>
      </c>
      <c r="B7" t="s">
        <v>16</v>
      </c>
      <c r="C7" t="s">
        <v>17</v>
      </c>
      <c r="E7" t="s">
        <v>39</v>
      </c>
      <c r="F7" t="s">
        <v>18</v>
      </c>
      <c r="G7" t="s">
        <v>19</v>
      </c>
      <c r="H7" t="s">
        <v>40</v>
      </c>
      <c r="I7" t="s">
        <v>41</v>
      </c>
      <c r="J7" t="s">
        <v>42</v>
      </c>
      <c r="K7" t="s">
        <v>43</v>
      </c>
      <c r="L7" t="s">
        <v>44</v>
      </c>
      <c r="M7" t="s">
        <v>45</v>
      </c>
      <c r="N7" t="s">
        <v>46</v>
      </c>
      <c r="O7" t="s">
        <v>47</v>
      </c>
      <c r="P7" t="s">
        <v>48</v>
      </c>
      <c r="Q7" t="s">
        <v>49</v>
      </c>
      <c r="R7" t="s">
        <v>50</v>
      </c>
      <c r="S7" t="s">
        <v>51</v>
      </c>
      <c r="T7" t="s">
        <v>52</v>
      </c>
      <c r="U7" t="s">
        <v>27</v>
      </c>
      <c r="V7" t="s">
        <v>35</v>
      </c>
      <c r="W7" t="s">
        <v>53</v>
      </c>
    </row>
    <row r="8" spans="1:23" x14ac:dyDescent="0.25">
      <c r="A8" s="4" t="str">
        <f>$A$3&amp;"_DI_AD"</f>
        <v>BXX_SLP4_VF1_DI_AD</v>
      </c>
      <c r="B8" s="4" t="str">
        <f>A4</f>
        <v>BXX_DSAB</v>
      </c>
      <c r="C8" s="4" t="str">
        <f>$C$3 &amp; " Disabled Alarm"</f>
        <v>BXX Pump 4 Disabled Alarm</v>
      </c>
      <c r="D8" s="2">
        <f>LEN(C8)</f>
        <v>25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54</v>
      </c>
      <c r="K8" t="s">
        <v>61</v>
      </c>
      <c r="L8" t="s">
        <v>61</v>
      </c>
      <c r="M8" s="5">
        <v>98</v>
      </c>
      <c r="N8" t="s">
        <v>57</v>
      </c>
      <c r="O8" s="4" t="str">
        <f>BXXPLC1!C3</f>
        <v>BXX</v>
      </c>
      <c r="P8" t="s">
        <v>14</v>
      </c>
      <c r="Q8" s="4" t="str">
        <f>$A$3&amp;".DI_AD"</f>
        <v>BXX_SLP4_VF1.DI_AD</v>
      </c>
      <c r="R8" t="s">
        <v>14</v>
      </c>
      <c r="S8" s="4" t="str">
        <f t="shared" ref="S8:S59" si="0">C8</f>
        <v>BXX Pump 4 Disabled Alarm</v>
      </c>
      <c r="T8">
        <v>0</v>
      </c>
      <c r="U8">
        <v>0</v>
      </c>
    </row>
    <row r="9" spans="1:23" x14ac:dyDescent="0.25">
      <c r="A9" s="4" t="str">
        <f>$A$3&amp;"_DI_CL"</f>
        <v>BXX_SLP4_VF1_DI_CL</v>
      </c>
      <c r="B9" s="4" t="str">
        <f>$A$3</f>
        <v>BXX_SLP4_VF1</v>
      </c>
      <c r="C9" s="4" t="str">
        <f>$C$3&amp;" Control Mode"</f>
        <v>BXX Pump 4 Control Mode</v>
      </c>
      <c r="D9" s="2">
        <f t="shared" ref="D9:D59" si="1">LEN(C9)</f>
        <v>23</v>
      </c>
      <c r="E9" t="s">
        <v>14</v>
      </c>
      <c r="F9" t="s">
        <v>13</v>
      </c>
      <c r="G9" s="5">
        <v>700</v>
      </c>
      <c r="H9" t="s">
        <v>13</v>
      </c>
      <c r="I9" t="s">
        <v>54</v>
      </c>
      <c r="J9" t="s">
        <v>175</v>
      </c>
      <c r="K9" t="s">
        <v>66</v>
      </c>
      <c r="L9" t="s">
        <v>56</v>
      </c>
      <c r="M9">
        <v>1</v>
      </c>
      <c r="N9" t="s">
        <v>57</v>
      </c>
      <c r="O9" s="4" t="str">
        <f>$O$8</f>
        <v>BXX</v>
      </c>
      <c r="P9" t="s">
        <v>14</v>
      </c>
      <c r="Q9" s="4" t="str">
        <f>$A$3&amp;".DI_CL.eng"</f>
        <v>BXX_SLP4_VF1.DI_CL.eng</v>
      </c>
      <c r="R9" t="s">
        <v>14</v>
      </c>
      <c r="S9" s="4" t="str">
        <f t="shared" si="0"/>
        <v>BXX Pump 4 Control Mode</v>
      </c>
      <c r="T9">
        <v>0</v>
      </c>
      <c r="U9">
        <v>0</v>
      </c>
    </row>
    <row r="10" spans="1:23" x14ac:dyDescent="0.25">
      <c r="A10" s="4" t="str">
        <f>$A$3&amp;"_DI_SS"</f>
        <v>BXX_SLP4_VF1_DI_SS</v>
      </c>
      <c r="B10" s="4" t="str">
        <f t="shared" ref="B10:B37" si="2">$A$3</f>
        <v>BXX_SLP4_VF1</v>
      </c>
      <c r="C10" s="4" t="str">
        <f>$C$3&amp;" Running Status"</f>
        <v>BXX Pump 4 Running Status</v>
      </c>
      <c r="D10" s="2">
        <f t="shared" si="1"/>
        <v>25</v>
      </c>
      <c r="E10" t="s">
        <v>13</v>
      </c>
      <c r="F10" t="s">
        <v>13</v>
      </c>
      <c r="G10" s="5">
        <v>700</v>
      </c>
      <c r="H10" t="s">
        <v>13</v>
      </c>
      <c r="I10" t="s">
        <v>54</v>
      </c>
      <c r="J10" t="s">
        <v>176</v>
      </c>
      <c r="K10" t="s">
        <v>177</v>
      </c>
      <c r="L10" t="s">
        <v>56</v>
      </c>
      <c r="M10">
        <v>1</v>
      </c>
      <c r="N10" t="s">
        <v>57</v>
      </c>
      <c r="O10" s="4" t="str">
        <f t="shared" ref="O10:O35" si="3">$O$8</f>
        <v>BXX</v>
      </c>
      <c r="P10" t="s">
        <v>14</v>
      </c>
      <c r="Q10" s="4" t="str">
        <f>$A$3&amp;".DI_SS.eng"</f>
        <v>BXX_SLP4_VF1.DI_SS.eng</v>
      </c>
      <c r="R10" t="s">
        <v>14</v>
      </c>
      <c r="S10" s="4" t="str">
        <f t="shared" si="0"/>
        <v>BXX Pump 4 Running Status</v>
      </c>
      <c r="T10">
        <v>0</v>
      </c>
      <c r="U10">
        <v>0</v>
      </c>
    </row>
    <row r="11" spans="1:23" x14ac:dyDescent="0.25">
      <c r="A11" s="4" t="str">
        <f>$A$3&amp;"_DA_ES"</f>
        <v>BXX_SLP4_VF1_DA_ES</v>
      </c>
      <c r="B11" s="4" t="str">
        <f t="shared" si="2"/>
        <v>BXX_SLP4_VF1</v>
      </c>
      <c r="C11" s="4" t="str">
        <f>$C$3&amp;" E-Stop"</f>
        <v>BXX Pump 4 E-Stop</v>
      </c>
      <c r="D11" s="2">
        <f t="shared" si="1"/>
        <v>17</v>
      </c>
      <c r="E11" t="s">
        <v>14</v>
      </c>
      <c r="F11" t="s">
        <v>14</v>
      </c>
      <c r="G11">
        <v>0</v>
      </c>
      <c r="H11" t="s">
        <v>13</v>
      </c>
      <c r="I11" t="s">
        <v>54</v>
      </c>
      <c r="J11" t="s">
        <v>62</v>
      </c>
      <c r="K11" t="s">
        <v>119</v>
      </c>
      <c r="L11" t="s">
        <v>61</v>
      </c>
      <c r="M11" s="5">
        <v>50</v>
      </c>
      <c r="N11" t="s">
        <v>57</v>
      </c>
      <c r="O11" s="4" t="str">
        <f t="shared" si="3"/>
        <v>BXX</v>
      </c>
      <c r="P11" t="s">
        <v>14</v>
      </c>
      <c r="Q11" s="4" t="str">
        <f>$A$3&amp;".DA_ES.eng"</f>
        <v>BXX_SLP4_VF1.DA_ES.eng</v>
      </c>
      <c r="R11" t="s">
        <v>14</v>
      </c>
      <c r="S11" s="4" t="str">
        <f t="shared" si="0"/>
        <v>BXX Pump 4 E-Stop</v>
      </c>
      <c r="T11">
        <v>0</v>
      </c>
      <c r="U11">
        <v>0</v>
      </c>
    </row>
    <row r="12" spans="1:23" x14ac:dyDescent="0.25">
      <c r="A12" s="4" t="str">
        <f>$A$3&amp;"_DA_RA"</f>
        <v>BXX_SLP4_VF1_DA_RA</v>
      </c>
      <c r="B12" s="4" t="str">
        <f t="shared" si="2"/>
        <v>BXX_SLP4_VF1</v>
      </c>
      <c r="C12" s="4" t="str">
        <f>$C$3&amp;" Overload"</f>
        <v>BXX Pump 4 Overload</v>
      </c>
      <c r="D12" s="2">
        <f t="shared" si="1"/>
        <v>19</v>
      </c>
      <c r="E12" t="s">
        <v>14</v>
      </c>
      <c r="F12" t="s">
        <v>14</v>
      </c>
      <c r="G12">
        <v>0</v>
      </c>
      <c r="H12" t="s">
        <v>13</v>
      </c>
      <c r="I12" t="s">
        <v>54</v>
      </c>
      <c r="J12" t="s">
        <v>62</v>
      </c>
      <c r="K12" t="s">
        <v>119</v>
      </c>
      <c r="L12" t="s">
        <v>61</v>
      </c>
      <c r="M12" s="5">
        <v>63</v>
      </c>
      <c r="N12" t="s">
        <v>57</v>
      </c>
      <c r="O12" s="4" t="str">
        <f t="shared" si="3"/>
        <v>BXX</v>
      </c>
      <c r="P12" t="s">
        <v>14</v>
      </c>
      <c r="Q12" s="4" t="str">
        <f>$A$3&amp;".DA_RA.eng"</f>
        <v>BXX_SLP4_VF1.DA_RA.eng</v>
      </c>
      <c r="R12" t="s">
        <v>14</v>
      </c>
      <c r="S12" s="4" t="str">
        <f t="shared" si="0"/>
        <v>BXX Pump 4 Overload</v>
      </c>
      <c r="T12">
        <v>0</v>
      </c>
      <c r="U12">
        <v>0</v>
      </c>
    </row>
    <row r="13" spans="1:23" x14ac:dyDescent="0.25">
      <c r="A13" s="4" t="str">
        <f>$A$3&amp;"_DA_DF"</f>
        <v>BXX_SLP4_VF1_DA_DF</v>
      </c>
      <c r="B13" s="4" t="str">
        <f t="shared" si="2"/>
        <v>BXX_SLP4_VF1</v>
      </c>
      <c r="C13" s="4" t="str">
        <f>$C$3&amp;" Not Ready"</f>
        <v>BXX Pump 4 Not Ready</v>
      </c>
      <c r="D13" s="2">
        <f t="shared" si="1"/>
        <v>20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J13" t="s">
        <v>62</v>
      </c>
      <c r="K13" t="s">
        <v>178</v>
      </c>
      <c r="L13" t="s">
        <v>61</v>
      </c>
      <c r="M13" s="5">
        <v>55</v>
      </c>
      <c r="N13" t="s">
        <v>57</v>
      </c>
      <c r="O13" s="4" t="str">
        <f t="shared" si="3"/>
        <v>BXX</v>
      </c>
      <c r="P13" t="s">
        <v>14</v>
      </c>
      <c r="Q13" s="4" t="str">
        <f>$A$3&amp;".DA_DF.eng"</f>
        <v>BXX_SLP4_VF1.DA_DF.eng</v>
      </c>
      <c r="R13" t="s">
        <v>14</v>
      </c>
      <c r="S13" s="4" t="str">
        <f t="shared" si="0"/>
        <v>BXX Pump 4 Not Ready</v>
      </c>
      <c r="T13">
        <v>0</v>
      </c>
      <c r="U13">
        <v>0</v>
      </c>
    </row>
    <row r="14" spans="1:23" x14ac:dyDescent="0.25">
      <c r="A14" s="4" t="str">
        <f>$A$3&amp;"_DA_GA"</f>
        <v>BXX_SLP4_VF1_DA_GA</v>
      </c>
      <c r="B14" s="4" t="str">
        <f t="shared" si="2"/>
        <v>BXX_SLP4_VF1</v>
      </c>
      <c r="C14" s="4" t="str">
        <f>$C$3&amp;" VFD Fault"</f>
        <v>BXX Pump 4 VFD Fault</v>
      </c>
      <c r="D14" s="2">
        <f t="shared" si="1"/>
        <v>20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55</v>
      </c>
      <c r="N14" t="s">
        <v>57</v>
      </c>
      <c r="O14" s="4" t="str">
        <f t="shared" si="3"/>
        <v>BXX</v>
      </c>
      <c r="P14" t="s">
        <v>14</v>
      </c>
      <c r="Q14" s="4" t="str">
        <f>$A$3&amp;".DA_GA.eng"</f>
        <v>BXX_SLP4_VF1.DA_GA.eng</v>
      </c>
      <c r="R14" t="s">
        <v>14</v>
      </c>
      <c r="S14" s="4" t="str">
        <f t="shared" si="0"/>
        <v>BXX Pump 4 VFD Fault</v>
      </c>
      <c r="T14">
        <v>0</v>
      </c>
      <c r="U14">
        <v>0</v>
      </c>
    </row>
    <row r="15" spans="1:23" x14ac:dyDescent="0.25">
      <c r="A15" s="4" t="str">
        <f>$A$3&amp;"_DA_TA"</f>
        <v>BXX_SLP4_VF1_DA_TA</v>
      </c>
      <c r="B15" s="4" t="str">
        <f t="shared" si="2"/>
        <v>BXX_SLP4_VF1</v>
      </c>
      <c r="C15" s="4" t="str">
        <f>$C$3&amp;" Temp/Leak Alarm"</f>
        <v>BXX Pump 4 Temp/Leak Alarm</v>
      </c>
      <c r="D15" s="2">
        <f t="shared" si="1"/>
        <v>26</v>
      </c>
      <c r="E15" t="s">
        <v>14</v>
      </c>
      <c r="F15" t="s">
        <v>14</v>
      </c>
      <c r="G15">
        <v>0</v>
      </c>
      <c r="H15" t="s">
        <v>13</v>
      </c>
      <c r="I15" t="s">
        <v>54</v>
      </c>
      <c r="J15" t="s">
        <v>62</v>
      </c>
      <c r="K15" t="s">
        <v>119</v>
      </c>
      <c r="L15" t="s">
        <v>61</v>
      </c>
      <c r="M15" s="5">
        <v>58</v>
      </c>
      <c r="N15" t="s">
        <v>57</v>
      </c>
      <c r="O15" s="4" t="str">
        <f t="shared" si="3"/>
        <v>BXX</v>
      </c>
      <c r="P15" t="s">
        <v>14</v>
      </c>
      <c r="Q15" s="4" t="str">
        <f>$A$3&amp;".DA_TA.eng"</f>
        <v>BXX_SLP4_VF1.DA_TA.eng</v>
      </c>
      <c r="R15" t="s">
        <v>14</v>
      </c>
      <c r="S15" s="4" t="str">
        <f t="shared" si="0"/>
        <v>BXX Pump 4 Temp/Leak Alarm</v>
      </c>
      <c r="T15">
        <v>0</v>
      </c>
      <c r="U15">
        <v>0</v>
      </c>
    </row>
    <row r="16" spans="1:23" x14ac:dyDescent="0.25">
      <c r="A16" s="4" t="str">
        <f>$A$3&amp;"_DI_AA"</f>
        <v>BXX_SLP4_VF1_DI_AA</v>
      </c>
      <c r="B16" s="4" t="str">
        <f t="shared" si="2"/>
        <v>BXX_SLP4_VF1</v>
      </c>
      <c r="C16" s="4" t="str">
        <f>$C$3&amp;" Auto Mode"</f>
        <v>BXX Pump 4 Auto Mode</v>
      </c>
      <c r="D16" s="2">
        <f t="shared" si="1"/>
        <v>20</v>
      </c>
      <c r="E16" t="s">
        <v>14</v>
      </c>
      <c r="F16" t="s">
        <v>13</v>
      </c>
      <c r="G16" s="5">
        <v>700</v>
      </c>
      <c r="H16" t="s">
        <v>13</v>
      </c>
      <c r="I16" t="s">
        <v>54</v>
      </c>
      <c r="J16" t="s">
        <v>179</v>
      </c>
      <c r="K16" t="s">
        <v>180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$A$3&amp;".DI_AA"</f>
        <v>BXX_SLP4_VF1.DI_AA</v>
      </c>
      <c r="R16" t="s">
        <v>14</v>
      </c>
      <c r="S16" s="4" t="str">
        <f t="shared" si="0"/>
        <v>BXX Pump 4 Auto Mode</v>
      </c>
      <c r="T16">
        <v>0</v>
      </c>
      <c r="U16">
        <v>0</v>
      </c>
    </row>
    <row r="17" spans="1:21" x14ac:dyDescent="0.25">
      <c r="A17" s="4" t="str">
        <f>$A$3&amp;"_DI_PM"</f>
        <v>BXX_SLP4_VF1_DI_PM</v>
      </c>
      <c r="B17" s="4" t="str">
        <f t="shared" si="2"/>
        <v>BXX_SLP4_VF1</v>
      </c>
      <c r="C17" s="4" t="str">
        <f>$C$3&amp;" Plant Manual Mode"</f>
        <v>BXX Pump 4 Plant Manual Mode</v>
      </c>
      <c r="D17" s="2">
        <f t="shared" si="1"/>
        <v>28</v>
      </c>
      <c r="E17" t="s">
        <v>14</v>
      </c>
      <c r="F17" t="s">
        <v>13</v>
      </c>
      <c r="G17" s="5">
        <v>700</v>
      </c>
      <c r="H17" t="s">
        <v>13</v>
      </c>
      <c r="I17" t="s">
        <v>54</v>
      </c>
      <c r="J17" t="s">
        <v>180</v>
      </c>
      <c r="K17" t="s">
        <v>179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$A$3&amp;".DI_PM"</f>
        <v>BXX_SLP4_VF1.DI_PM</v>
      </c>
      <c r="R17" t="s">
        <v>14</v>
      </c>
      <c r="S17" s="4" t="str">
        <f t="shared" si="0"/>
        <v>BXX Pump 4 Plant Manual Mode</v>
      </c>
      <c r="T17">
        <v>0</v>
      </c>
      <c r="U17">
        <v>0</v>
      </c>
    </row>
    <row r="18" spans="1:21" x14ac:dyDescent="0.25">
      <c r="A18" s="4" t="str">
        <f>$A$3&amp;"_PB_PM"</f>
        <v>BXX_SLP4_VF1_PB_PM</v>
      </c>
      <c r="B18" s="4" t="str">
        <f t="shared" si="2"/>
        <v>BXX_SLP4_VF1</v>
      </c>
      <c r="C18" s="4" t="str">
        <f>$C$3&amp;" Plant Manual Mode RQ"</f>
        <v>BXX Pump 4 Plant Manual Mode RQ</v>
      </c>
      <c r="D18" s="2">
        <f t="shared" si="1"/>
        <v>31</v>
      </c>
      <c r="E18" t="s">
        <v>14</v>
      </c>
      <c r="F18" t="s">
        <v>13</v>
      </c>
      <c r="G18" s="5">
        <v>600</v>
      </c>
      <c r="H18" t="s">
        <v>13</v>
      </c>
      <c r="I18" t="s">
        <v>54</v>
      </c>
      <c r="J18" t="s">
        <v>62</v>
      </c>
      <c r="K18" t="s">
        <v>61</v>
      </c>
      <c r="L18" t="s">
        <v>56</v>
      </c>
      <c r="M18">
        <v>1</v>
      </c>
      <c r="N18" t="s">
        <v>57</v>
      </c>
      <c r="O18" s="4" t="str">
        <f t="shared" si="3"/>
        <v>BXX</v>
      </c>
      <c r="P18" t="s">
        <v>14</v>
      </c>
      <c r="Q18" s="4" t="str">
        <f>$A$3&amp;".PB_PM"</f>
        <v>BXX_SLP4_VF1.PB_PM</v>
      </c>
      <c r="R18" t="s">
        <v>14</v>
      </c>
      <c r="S18" s="4" t="str">
        <f t="shared" si="0"/>
        <v>BXX Pump 4 Plant Manual Mode RQ</v>
      </c>
      <c r="T18">
        <v>0</v>
      </c>
      <c r="U18">
        <v>0</v>
      </c>
    </row>
    <row r="19" spans="1:21" x14ac:dyDescent="0.25">
      <c r="A19" s="4" t="str">
        <f>$A$3&amp;"_PB_PT"</f>
        <v>BXX_SLP4_VF1_PB_PT</v>
      </c>
      <c r="B19" s="4" t="str">
        <f t="shared" si="2"/>
        <v>BXX_SLP4_VF1</v>
      </c>
      <c r="C19" s="4" t="str">
        <f>$C$3&amp;" Plant Manual Start"</f>
        <v>BXX Pump 4 Plant Manual Start</v>
      </c>
      <c r="D19" s="2">
        <f t="shared" si="1"/>
        <v>29</v>
      </c>
      <c r="E19" t="s">
        <v>14</v>
      </c>
      <c r="F19" t="s">
        <v>13</v>
      </c>
      <c r="G19" s="5">
        <v>600</v>
      </c>
      <c r="H19" t="s">
        <v>13</v>
      </c>
      <c r="I19" t="s">
        <v>54</v>
      </c>
      <c r="J19" t="s">
        <v>62</v>
      </c>
      <c r="K19" t="s">
        <v>181</v>
      </c>
      <c r="L19" t="s">
        <v>56</v>
      </c>
      <c r="M19">
        <v>1</v>
      </c>
      <c r="N19" t="s">
        <v>57</v>
      </c>
      <c r="O19" s="4" t="str">
        <f t="shared" si="3"/>
        <v>BXX</v>
      </c>
      <c r="P19" t="s">
        <v>14</v>
      </c>
      <c r="Q19" s="4" t="str">
        <f>$A$3&amp;".PB_PT"</f>
        <v>BXX_SLP4_VF1.PB_PT</v>
      </c>
      <c r="R19" t="s">
        <v>14</v>
      </c>
      <c r="S19" s="4" t="str">
        <f t="shared" si="0"/>
        <v>BXX Pump 4 Plant Manual Start</v>
      </c>
      <c r="T19">
        <v>0</v>
      </c>
      <c r="U19">
        <v>0</v>
      </c>
    </row>
    <row r="20" spans="1:21" x14ac:dyDescent="0.25">
      <c r="A20" s="4" t="str">
        <f>$A$3&amp;"_PB_PP"</f>
        <v>BXX_SLP4_VF1_PB_PP</v>
      </c>
      <c r="B20" s="4" t="str">
        <f t="shared" si="2"/>
        <v>BXX_SLP4_VF1</v>
      </c>
      <c r="C20" s="4" t="str">
        <f>$C$3&amp;" Plant Manual Stop"</f>
        <v>BXX Pump 4 Plant Manual Stop</v>
      </c>
      <c r="D20" s="2">
        <f t="shared" si="1"/>
        <v>28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62</v>
      </c>
      <c r="K20" t="s">
        <v>182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$A$3&amp;".PB_PP"</f>
        <v>BXX_SLP4_VF1.PB_PP</v>
      </c>
      <c r="R20" t="s">
        <v>14</v>
      </c>
      <c r="S20" s="4" t="str">
        <f t="shared" si="0"/>
        <v>BXX Pump 4 Plant Manual Stop</v>
      </c>
      <c r="T20">
        <v>0</v>
      </c>
      <c r="U20">
        <v>0</v>
      </c>
    </row>
    <row r="21" spans="1:21" x14ac:dyDescent="0.25">
      <c r="A21" s="4" t="str">
        <f>$A$3&amp;"_PB_AR"</f>
        <v>BXX_SLP4_VF1_PB_AR</v>
      </c>
      <c r="B21" s="4" t="str">
        <f t="shared" si="2"/>
        <v>BXX_SLP4_VF1</v>
      </c>
      <c r="C21" s="4" t="str">
        <f>$C$3&amp;" Alarm Ack"</f>
        <v>BXX Pump 4 Alarm Ack</v>
      </c>
      <c r="D21" s="2">
        <f t="shared" si="1"/>
        <v>20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62</v>
      </c>
      <c r="K21" t="s">
        <v>183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BXX_SLP4_VF1.PB_AR</v>
      </c>
      <c r="R21" t="s">
        <v>14</v>
      </c>
      <c r="S21" s="4" t="str">
        <f t="shared" si="0"/>
        <v>BXX Pump 4 Alarm Ack</v>
      </c>
      <c r="T21">
        <v>0</v>
      </c>
      <c r="U21">
        <v>0</v>
      </c>
    </row>
    <row r="22" spans="1:21" x14ac:dyDescent="0.25">
      <c r="A22" s="4" t="str">
        <f>$A$3&amp;"_PB_RT"</f>
        <v>BXX_SLP4_VF1_PB_RT</v>
      </c>
      <c r="B22" s="4" t="str">
        <f t="shared" si="2"/>
        <v>BXX_SLP4_VF1</v>
      </c>
      <c r="C22" s="4" t="str">
        <f>$C$3&amp;" Runtime Reset"</f>
        <v>BXX Pump 4 Runtime Reset</v>
      </c>
      <c r="D22" s="2">
        <f t="shared" si="1"/>
        <v>24</v>
      </c>
      <c r="E22" t="s">
        <v>14</v>
      </c>
      <c r="F22" t="s">
        <v>13</v>
      </c>
      <c r="G22" s="5">
        <v>600</v>
      </c>
      <c r="H22" t="s">
        <v>13</v>
      </c>
      <c r="I22" t="s">
        <v>54</v>
      </c>
      <c r="J22" t="s">
        <v>62</v>
      </c>
      <c r="K22" t="s">
        <v>184</v>
      </c>
      <c r="L22" t="s">
        <v>56</v>
      </c>
      <c r="M22">
        <v>1</v>
      </c>
      <c r="N22" t="s">
        <v>57</v>
      </c>
      <c r="O22" s="4" t="str">
        <f t="shared" si="3"/>
        <v>BXX</v>
      </c>
      <c r="P22" t="s">
        <v>14</v>
      </c>
      <c r="Q22" s="4" t="str">
        <f>$A$3&amp;".PB_RT"</f>
        <v>BXX_SLP4_VF1.PB_RT</v>
      </c>
      <c r="R22" t="s">
        <v>14</v>
      </c>
      <c r="S22" s="4" t="str">
        <f t="shared" si="0"/>
        <v>BXX Pump 4 Runtime Reset</v>
      </c>
      <c r="T22">
        <v>0</v>
      </c>
      <c r="U22">
        <v>0</v>
      </c>
    </row>
    <row r="23" spans="1:21" x14ac:dyDescent="0.25">
      <c r="A23" s="4" t="str">
        <f>$A$3&amp;"_DA_SF"</f>
        <v>BXX_SLP4_VF1_DA_SF</v>
      </c>
      <c r="B23" s="4" t="str">
        <f t="shared" si="2"/>
        <v>BXX_SLP4_VF1</v>
      </c>
      <c r="C23" s="4" t="str">
        <f>$C$3&amp;" Failed To Start"</f>
        <v>BXX Pump 4 Failed To Start</v>
      </c>
      <c r="D23" s="2">
        <f t="shared" si="1"/>
        <v>26</v>
      </c>
      <c r="E23" t="s">
        <v>14</v>
      </c>
      <c r="F23" t="s">
        <v>14</v>
      </c>
      <c r="G23">
        <v>0</v>
      </c>
      <c r="H23" t="s">
        <v>13</v>
      </c>
      <c r="I23" t="s">
        <v>54</v>
      </c>
      <c r="J23" t="s">
        <v>62</v>
      </c>
      <c r="K23" t="s">
        <v>119</v>
      </c>
      <c r="L23" t="s">
        <v>61</v>
      </c>
      <c r="M23" s="5">
        <v>51</v>
      </c>
      <c r="N23" t="s">
        <v>57</v>
      </c>
      <c r="O23" s="4" t="str">
        <f t="shared" si="3"/>
        <v>BXX</v>
      </c>
      <c r="P23" t="s">
        <v>14</v>
      </c>
      <c r="Q23" s="4" t="str">
        <f>$A$3&amp;".DA_SF"</f>
        <v>BXX_SLP4_VF1.DA_SF</v>
      </c>
      <c r="R23" t="s">
        <v>14</v>
      </c>
      <c r="S23" s="4" t="str">
        <f t="shared" si="0"/>
        <v>BXX Pump 4 Failed To Start</v>
      </c>
      <c r="T23">
        <v>0</v>
      </c>
      <c r="U23">
        <v>0</v>
      </c>
    </row>
    <row r="24" spans="1:21" x14ac:dyDescent="0.25">
      <c r="A24" s="4" t="str">
        <f>$A$3&amp;"_DA_XF"</f>
        <v>BXX_SLP4_VF1_DA_XF</v>
      </c>
      <c r="B24" s="4" t="str">
        <f t="shared" si="2"/>
        <v>BXX_SLP4_VF1</v>
      </c>
      <c r="C24" s="4" t="str">
        <f>$C$3&amp;" Failed To Stop"</f>
        <v>BXX Pump 4 Failed To Stop</v>
      </c>
      <c r="D24" s="2">
        <f t="shared" si="1"/>
        <v>25</v>
      </c>
      <c r="E24" t="s">
        <v>14</v>
      </c>
      <c r="F24" t="s">
        <v>14</v>
      </c>
      <c r="G24">
        <v>0</v>
      </c>
      <c r="H24" t="s">
        <v>13</v>
      </c>
      <c r="I24" t="s">
        <v>54</v>
      </c>
      <c r="J24" t="s">
        <v>62</v>
      </c>
      <c r="K24" t="s">
        <v>119</v>
      </c>
      <c r="L24" t="s">
        <v>61</v>
      </c>
      <c r="M24" s="5">
        <v>52</v>
      </c>
      <c r="N24" t="s">
        <v>57</v>
      </c>
      <c r="O24" s="4" t="str">
        <f t="shared" si="3"/>
        <v>BXX</v>
      </c>
      <c r="P24" t="s">
        <v>14</v>
      </c>
      <c r="Q24" s="4" t="str">
        <f>$A$3&amp;".DA_XF"</f>
        <v>BXX_SLP4_VF1.DA_XF</v>
      </c>
      <c r="R24" t="s">
        <v>14</v>
      </c>
      <c r="S24" s="4" t="str">
        <f t="shared" si="0"/>
        <v>BXX Pump 4 Failed To Stop</v>
      </c>
      <c r="T24">
        <v>0</v>
      </c>
      <c r="U24">
        <v>0</v>
      </c>
    </row>
    <row r="25" spans="1:21" x14ac:dyDescent="0.25">
      <c r="A25" s="4" t="str">
        <f>$A$3&amp;"_DA_SU"</f>
        <v>BXX_SLP4_VF1_DA_SU</v>
      </c>
      <c r="B25" s="4" t="str">
        <f t="shared" si="2"/>
        <v>BXX_SLP4_VF1</v>
      </c>
      <c r="C25" s="4" t="str">
        <f>$C$3&amp;" Uncommanded Start"</f>
        <v>BXX Pump 4 Uncommanded Start</v>
      </c>
      <c r="D25" s="2">
        <f t="shared" si="1"/>
        <v>28</v>
      </c>
      <c r="E25" t="s">
        <v>14</v>
      </c>
      <c r="F25" t="s">
        <v>14</v>
      </c>
      <c r="G25">
        <v>0</v>
      </c>
      <c r="H25" t="s">
        <v>13</v>
      </c>
      <c r="I25" t="s">
        <v>54</v>
      </c>
      <c r="J25" t="s">
        <v>62</v>
      </c>
      <c r="K25" t="s">
        <v>119</v>
      </c>
      <c r="L25" t="s">
        <v>61</v>
      </c>
      <c r="M25" s="5">
        <v>53</v>
      </c>
      <c r="N25" t="s">
        <v>57</v>
      </c>
      <c r="O25" s="4" t="str">
        <f t="shared" si="3"/>
        <v>BXX</v>
      </c>
      <c r="P25" t="s">
        <v>14</v>
      </c>
      <c r="Q25" s="4" t="str">
        <f>$A$3&amp;".DA_SU"</f>
        <v>BXX_SLP4_VF1.DA_SU</v>
      </c>
      <c r="R25" t="s">
        <v>14</v>
      </c>
      <c r="S25" s="4" t="str">
        <f t="shared" si="0"/>
        <v>BXX Pump 4 Uncommanded Start</v>
      </c>
      <c r="T25">
        <v>0</v>
      </c>
      <c r="U25">
        <v>0</v>
      </c>
    </row>
    <row r="26" spans="1:21" x14ac:dyDescent="0.25">
      <c r="A26" s="4" t="str">
        <f>$A$3&amp;"_DA_XU"</f>
        <v>BXX_SLP4_VF1_DA_XU</v>
      </c>
      <c r="B26" s="4" t="str">
        <f t="shared" si="2"/>
        <v>BXX_SLP4_VF1</v>
      </c>
      <c r="C26" s="4" t="str">
        <f>$C$3&amp;" Uncommanded Stop"</f>
        <v>BXX Pump 4 Uncommanded Stop</v>
      </c>
      <c r="D26" s="2">
        <f t="shared" si="1"/>
        <v>27</v>
      </c>
      <c r="E26" t="s">
        <v>14</v>
      </c>
      <c r="F26" t="s">
        <v>14</v>
      </c>
      <c r="G26">
        <v>0</v>
      </c>
      <c r="H26" t="s">
        <v>13</v>
      </c>
      <c r="I26" t="s">
        <v>54</v>
      </c>
      <c r="J26" t="s">
        <v>62</v>
      </c>
      <c r="K26" t="s">
        <v>119</v>
      </c>
      <c r="L26" t="s">
        <v>61</v>
      </c>
      <c r="M26" s="5">
        <v>54</v>
      </c>
      <c r="N26" t="s">
        <v>57</v>
      </c>
      <c r="O26" s="4" t="str">
        <f t="shared" si="3"/>
        <v>BXX</v>
      </c>
      <c r="P26" t="s">
        <v>14</v>
      </c>
      <c r="Q26" s="4" t="str">
        <f>$A$3&amp;".DA_XU"</f>
        <v>BXX_SLP4_VF1.DA_XU</v>
      </c>
      <c r="R26" t="s">
        <v>14</v>
      </c>
      <c r="S26" s="4" t="str">
        <f t="shared" si="0"/>
        <v>BXX Pump 4 Uncommanded Stop</v>
      </c>
      <c r="T26">
        <v>0</v>
      </c>
      <c r="U26">
        <v>0</v>
      </c>
    </row>
    <row r="27" spans="1:21" x14ac:dyDescent="0.25">
      <c r="A27" s="4" t="str">
        <f>$A$3&amp;"_DI_BP"</f>
        <v>BXX_SLP4_VF1_DI_BP</v>
      </c>
      <c r="B27" s="4" t="str">
        <f t="shared" si="2"/>
        <v>BXX_SLP4_VF1</v>
      </c>
      <c r="C27" s="4" t="str">
        <f>$C$3&amp;" Bypass Mode"</f>
        <v>BXX Pump 4 Bypass Mode</v>
      </c>
      <c r="D27" s="2">
        <f t="shared" si="1"/>
        <v>22</v>
      </c>
      <c r="E27" t="s">
        <v>14</v>
      </c>
      <c r="F27" t="s">
        <v>13</v>
      </c>
      <c r="G27" s="5">
        <v>700</v>
      </c>
      <c r="H27" t="s">
        <v>13</v>
      </c>
      <c r="I27" t="s">
        <v>54</v>
      </c>
      <c r="J27" t="s">
        <v>62</v>
      </c>
      <c r="K27" t="s">
        <v>185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$A$3&amp;".DI_BP.eng"</f>
        <v>BXX_SLP4_VF1.DI_BP.eng</v>
      </c>
      <c r="R27" t="s">
        <v>14</v>
      </c>
      <c r="S27" s="4" t="str">
        <f t="shared" si="0"/>
        <v>BXX Pump 4 Bypass Mode</v>
      </c>
      <c r="T27">
        <v>0</v>
      </c>
      <c r="U27">
        <v>0</v>
      </c>
    </row>
    <row r="28" spans="1:21" x14ac:dyDescent="0.25">
      <c r="A28" s="4" t="str">
        <f>$A$3&amp;"_DI_ST"</f>
        <v>BXX_SLP4_VF1_DI_ST</v>
      </c>
      <c r="B28" s="4" t="str">
        <f t="shared" si="2"/>
        <v>BXX_SLP4_VF1</v>
      </c>
      <c r="C28" s="4" t="str">
        <f>$C$3&amp;" Hardwired Start"</f>
        <v>BXX Pump 4 Hardwired Start</v>
      </c>
      <c r="D28" s="2">
        <f t="shared" si="1"/>
        <v>26</v>
      </c>
      <c r="E28" t="s">
        <v>14</v>
      </c>
      <c r="F28" t="s">
        <v>13</v>
      </c>
      <c r="G28" s="5">
        <v>700</v>
      </c>
      <c r="H28" t="s">
        <v>13</v>
      </c>
      <c r="I28" t="s">
        <v>54</v>
      </c>
      <c r="J28" t="s">
        <v>62</v>
      </c>
      <c r="K28" t="s">
        <v>61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$A$3&amp;".DI_ST.eng"</f>
        <v>BXX_SLP4_VF1.DI_ST.eng</v>
      </c>
      <c r="R28" t="s">
        <v>14</v>
      </c>
      <c r="S28" s="4" t="str">
        <f t="shared" si="0"/>
        <v>BXX Pump 4 Hardwired Start</v>
      </c>
      <c r="T28">
        <v>0</v>
      </c>
      <c r="U28">
        <v>0</v>
      </c>
    </row>
    <row r="29" spans="1:21" x14ac:dyDescent="0.25">
      <c r="A29" s="4" t="str">
        <f>$A$3&amp;"_DI_SP"</f>
        <v>BXX_SLP4_VF1_DI_SP</v>
      </c>
      <c r="B29" s="4" t="str">
        <f t="shared" si="2"/>
        <v>BXX_SLP4_VF1</v>
      </c>
      <c r="C29" s="4" t="str">
        <f>$C$3&amp;" Hardwired Stop"</f>
        <v>BXX Pump 4 Hardwired Stop</v>
      </c>
      <c r="D29" s="2">
        <f t="shared" si="1"/>
        <v>25</v>
      </c>
      <c r="E29" t="s">
        <v>14</v>
      </c>
      <c r="F29" t="s">
        <v>13</v>
      </c>
      <c r="G29" s="5">
        <v>700</v>
      </c>
      <c r="H29" t="s">
        <v>13</v>
      </c>
      <c r="I29" t="s">
        <v>54</v>
      </c>
      <c r="J29" t="s">
        <v>62</v>
      </c>
      <c r="K29" t="s">
        <v>61</v>
      </c>
      <c r="L29" t="s">
        <v>56</v>
      </c>
      <c r="M29">
        <v>1</v>
      </c>
      <c r="N29" t="s">
        <v>57</v>
      </c>
      <c r="O29" s="4" t="str">
        <f t="shared" si="3"/>
        <v>BXX</v>
      </c>
      <c r="P29" t="s">
        <v>14</v>
      </c>
      <c r="Q29" s="4" t="str">
        <f>$A$3&amp;".DI_SP.eng"</f>
        <v>BXX_SLP4_VF1.DI_SP.eng</v>
      </c>
      <c r="R29" t="s">
        <v>14</v>
      </c>
      <c r="S29" s="4" t="str">
        <f t="shared" si="0"/>
        <v>BXX Pump 4 Hardwired Stop</v>
      </c>
      <c r="T29">
        <v>0</v>
      </c>
      <c r="U29">
        <v>0</v>
      </c>
    </row>
    <row r="30" spans="1:21" x14ac:dyDescent="0.25">
      <c r="A30" s="4" t="str">
        <f>$A$3&amp;"_PB_SU"</f>
        <v>BXX_SLP4_VF1_PB_SU</v>
      </c>
      <c r="B30" s="4" t="str">
        <f t="shared" si="2"/>
        <v>BXX_SLP4_VF1</v>
      </c>
      <c r="C30" s="4" t="str">
        <f>$C$3&amp;" Uncomm Start Alarm En"</f>
        <v>BXX Pump 4 Uncomm Start Alarm En</v>
      </c>
      <c r="D30" s="2">
        <f t="shared" si="1"/>
        <v>32</v>
      </c>
      <c r="E30" t="s">
        <v>14</v>
      </c>
      <c r="F30" t="s">
        <v>13</v>
      </c>
      <c r="G30" s="5">
        <v>600</v>
      </c>
      <c r="H30" t="s">
        <v>13</v>
      </c>
      <c r="I30" t="s">
        <v>54</v>
      </c>
      <c r="J30" t="s">
        <v>60</v>
      </c>
      <c r="K30" t="s">
        <v>59</v>
      </c>
      <c r="L30" t="s">
        <v>56</v>
      </c>
      <c r="M30" s="5">
        <v>1</v>
      </c>
      <c r="N30" t="s">
        <v>57</v>
      </c>
      <c r="O30" s="4" t="str">
        <f t="shared" si="3"/>
        <v>BXX</v>
      </c>
      <c r="P30" t="s">
        <v>14</v>
      </c>
      <c r="Q30" s="4" t="str">
        <f>$A$3&amp;".PB_SU.RE"</f>
        <v>BXX_SLP4_VF1.PB_SU.RE</v>
      </c>
      <c r="R30" t="s">
        <v>14</v>
      </c>
      <c r="S30" s="4" t="str">
        <f t="shared" si="0"/>
        <v>BXX Pump 4 Uncomm Start Alarm En</v>
      </c>
      <c r="T30">
        <v>0</v>
      </c>
      <c r="U30">
        <v>0</v>
      </c>
    </row>
    <row r="31" spans="1:21" x14ac:dyDescent="0.25">
      <c r="A31" s="4" t="str">
        <f>$A$3&amp;"_PB_SF"</f>
        <v>BXX_SLP4_VF1_PB_SF</v>
      </c>
      <c r="B31" s="4" t="str">
        <f t="shared" si="2"/>
        <v>BXX_SLP4_VF1</v>
      </c>
      <c r="C31" s="4" t="str">
        <f>$C$3&amp;" Failed To Start Alarm En"</f>
        <v>BXX Pump 4 Failed To Start Alarm En</v>
      </c>
      <c r="D31" s="2">
        <f t="shared" si="1"/>
        <v>35</v>
      </c>
      <c r="E31" t="s">
        <v>14</v>
      </c>
      <c r="F31" t="s">
        <v>13</v>
      </c>
      <c r="G31" s="5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 s="5">
        <v>1</v>
      </c>
      <c r="N31" t="s">
        <v>57</v>
      </c>
      <c r="O31" s="4" t="str">
        <f t="shared" si="3"/>
        <v>BXX</v>
      </c>
      <c r="P31" t="s">
        <v>14</v>
      </c>
      <c r="Q31" s="4" t="str">
        <f>$A$3&amp;".PB_SF.RE"</f>
        <v>BXX_SLP4_VF1.PB_SF.RE</v>
      </c>
      <c r="R31" t="s">
        <v>14</v>
      </c>
      <c r="S31" s="4" t="str">
        <f t="shared" si="0"/>
        <v>BXX Pump 4 Failed To Start Alarm En</v>
      </c>
      <c r="T31">
        <v>0</v>
      </c>
      <c r="U31">
        <v>0</v>
      </c>
    </row>
    <row r="32" spans="1:21" x14ac:dyDescent="0.25">
      <c r="A32" s="4" t="str">
        <f>$A$3&amp;"_PB_XF"</f>
        <v>BXX_SLP4_VF1_PB_XF</v>
      </c>
      <c r="B32" s="4" t="str">
        <f t="shared" si="2"/>
        <v>BXX_SLP4_VF1</v>
      </c>
      <c r="C32" s="4" t="str">
        <f>$C$3&amp;" Failed To Stop Alarm En"</f>
        <v>BXX Pump 4 Failed To Stop Alarm En</v>
      </c>
      <c r="D32" s="2">
        <f t="shared" si="1"/>
        <v>34</v>
      </c>
      <c r="E32" t="s">
        <v>14</v>
      </c>
      <c r="F32" t="s">
        <v>13</v>
      </c>
      <c r="G32" s="5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 s="5">
        <v>1</v>
      </c>
      <c r="N32" t="s">
        <v>57</v>
      </c>
      <c r="O32" s="4" t="str">
        <f t="shared" si="3"/>
        <v>BXX</v>
      </c>
      <c r="P32" t="s">
        <v>14</v>
      </c>
      <c r="Q32" s="4" t="str">
        <f>$A$3&amp;".PB_XF.RE"</f>
        <v>BXX_SLP4_VF1.PB_XF.RE</v>
      </c>
      <c r="R32" t="s">
        <v>14</v>
      </c>
      <c r="S32" s="4" t="str">
        <f t="shared" si="0"/>
        <v>BXX Pump 4 Failed To Stop Alarm En</v>
      </c>
      <c r="T32">
        <v>0</v>
      </c>
      <c r="U32">
        <v>0</v>
      </c>
    </row>
    <row r="33" spans="1:21" x14ac:dyDescent="0.25">
      <c r="A33" s="4" t="str">
        <f>$A$3&amp;"_PB_XU"</f>
        <v>BXX_SLP4_VF1_PB_XU</v>
      </c>
      <c r="B33" s="4" t="str">
        <f t="shared" si="2"/>
        <v>BXX_SLP4_VF1</v>
      </c>
      <c r="C33" s="4" t="str">
        <f>$C$3&amp;" Uncomm. Stop Alarm En"</f>
        <v>BXX Pump 4 Uncomm. Stop Alarm En</v>
      </c>
      <c r="D33" s="2">
        <f t="shared" si="1"/>
        <v>32</v>
      </c>
      <c r="E33" t="s">
        <v>14</v>
      </c>
      <c r="F33" t="s">
        <v>13</v>
      </c>
      <c r="G33" s="5">
        <v>600</v>
      </c>
      <c r="H33" t="s">
        <v>13</v>
      </c>
      <c r="I33" t="s">
        <v>54</v>
      </c>
      <c r="J33" t="s">
        <v>60</v>
      </c>
      <c r="K33" t="s">
        <v>59</v>
      </c>
      <c r="L33" t="s">
        <v>56</v>
      </c>
      <c r="M33" s="5">
        <v>1</v>
      </c>
      <c r="N33" t="s">
        <v>57</v>
      </c>
      <c r="O33" s="4" t="str">
        <f t="shared" si="3"/>
        <v>BXX</v>
      </c>
      <c r="P33" t="s">
        <v>14</v>
      </c>
      <c r="Q33" s="4" t="str">
        <f>$A$3&amp;".PB_XU.RE"</f>
        <v>BXX_SLP4_VF1.PB_XU.RE</v>
      </c>
      <c r="R33" t="s">
        <v>14</v>
      </c>
      <c r="S33" s="4" t="str">
        <f t="shared" si="0"/>
        <v>BXX Pump 4 Uncomm. Stop Alarm En</v>
      </c>
      <c r="T33">
        <v>0</v>
      </c>
      <c r="U33">
        <v>0</v>
      </c>
    </row>
    <row r="34" spans="1:21" x14ac:dyDescent="0.25">
      <c r="A34" s="4" t="str">
        <f>$A$3&amp;"_PB_SM"</f>
        <v>BXX_SLP4_VF1_PB_SM</v>
      </c>
      <c r="B34" s="4" t="str">
        <f t="shared" si="2"/>
        <v>BXX_SLP4_VF1</v>
      </c>
      <c r="C34" s="4" t="str">
        <f>$C$3&amp;" Simulate Alarms PB"</f>
        <v>BXX Pump 4 Simulate Alarms PB</v>
      </c>
      <c r="D34" s="2">
        <f t="shared" si="1"/>
        <v>29</v>
      </c>
      <c r="E34" t="s">
        <v>14</v>
      </c>
      <c r="F34" t="s">
        <v>13</v>
      </c>
      <c r="G34" s="5">
        <v>600</v>
      </c>
      <c r="H34" t="s">
        <v>13</v>
      </c>
      <c r="I34" t="s">
        <v>54</v>
      </c>
      <c r="J34" t="s">
        <v>54</v>
      </c>
      <c r="K34" t="s">
        <v>61</v>
      </c>
      <c r="L34" t="s">
        <v>56</v>
      </c>
      <c r="M34" s="5">
        <v>1</v>
      </c>
      <c r="N34" t="s">
        <v>57</v>
      </c>
      <c r="O34" s="4" t="str">
        <f t="shared" si="3"/>
        <v>BXX</v>
      </c>
      <c r="P34" t="s">
        <v>14</v>
      </c>
      <c r="Q34" s="4" t="str">
        <f>$A$3&amp;".PB_SM"</f>
        <v>BXX_SLP4_VF1.PB_SM</v>
      </c>
      <c r="R34" t="s">
        <v>14</v>
      </c>
      <c r="S34" s="4" t="str">
        <f t="shared" si="0"/>
        <v>BXX Pump 4 Simulate Alarms PB</v>
      </c>
      <c r="T34">
        <v>0</v>
      </c>
      <c r="U34">
        <v>0</v>
      </c>
    </row>
    <row r="35" spans="1:21" x14ac:dyDescent="0.25">
      <c r="A35" s="4" t="str">
        <f>$A$3&amp;"_PB_AE"</f>
        <v>BXX_SLP4_VF1_PB_AE</v>
      </c>
      <c r="B35" s="4" t="str">
        <f t="shared" si="2"/>
        <v>BXX_SLP4_VF1</v>
      </c>
      <c r="C35" s="4" t="str">
        <f>$C$3&amp;" Alarm Enable"</f>
        <v>BXX Pump 4 Alarm Enable</v>
      </c>
      <c r="D35" s="2">
        <f t="shared" si="1"/>
        <v>23</v>
      </c>
      <c r="E35" t="s">
        <v>14</v>
      </c>
      <c r="F35" t="s">
        <v>13</v>
      </c>
      <c r="G35" s="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>
        <v>1</v>
      </c>
      <c r="N35" t="s">
        <v>57</v>
      </c>
      <c r="O35" s="4" t="str">
        <f t="shared" si="3"/>
        <v>BXX</v>
      </c>
      <c r="P35" t="s">
        <v>14</v>
      </c>
      <c r="Q35" s="4" t="str">
        <f>$A$3&amp;".PB_AE.RE"</f>
        <v>BXX_SLP4_VF1.PB_AE.RE</v>
      </c>
      <c r="R35" t="s">
        <v>14</v>
      </c>
      <c r="S35" s="4" t="str">
        <f t="shared" si="0"/>
        <v>BXX Pump 4 Alarm Enable</v>
      </c>
      <c r="T35">
        <v>0</v>
      </c>
      <c r="U35">
        <v>0</v>
      </c>
    </row>
    <row r="36" spans="1:21" x14ac:dyDescent="0.25">
      <c r="A36" s="4" t="str">
        <f>$A$3&amp;"_PB_AE_DE"</f>
        <v>BXX_SLP4_VF1_PB_AE_DE</v>
      </c>
      <c r="B36" s="4" t="str">
        <f t="shared" si="2"/>
        <v>BXX_SLP4_VF1</v>
      </c>
      <c r="C36" s="4" t="str">
        <f>$C$3 &amp; " Alarms Dialer Enable"</f>
        <v>BXX Pump 4 Alarms Dialer Enable</v>
      </c>
      <c r="D36" s="2">
        <f t="shared" si="1"/>
        <v>31</v>
      </c>
      <c r="E36" t="s">
        <v>14</v>
      </c>
      <c r="F36" t="s">
        <v>13</v>
      </c>
      <c r="G36" s="5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>
        <v>1</v>
      </c>
      <c r="N36" t="s">
        <v>57</v>
      </c>
      <c r="O36" s="4" t="str">
        <f t="shared" ref="O36:O37" si="4">$O$9</f>
        <v>BXX</v>
      </c>
      <c r="P36" t="s">
        <v>14</v>
      </c>
      <c r="Q36" s="4" t="str">
        <f>$A$3&amp;".PB_AE.DE"</f>
        <v>BXX_SLP4_VF1.PB_AE.DE</v>
      </c>
      <c r="R36" t="s">
        <v>14</v>
      </c>
      <c r="S36" s="4" t="str">
        <f t="shared" si="0"/>
        <v>BXX Pump 4 Alarms Dialer Enable</v>
      </c>
      <c r="T36">
        <v>0</v>
      </c>
      <c r="U36">
        <v>0</v>
      </c>
    </row>
    <row r="37" spans="1:21" x14ac:dyDescent="0.25">
      <c r="A37" s="4" t="str">
        <f>$A$3&amp;"_PB_AE_SR"</f>
        <v>BXX_SLP4_VF1_PB_AE_SR</v>
      </c>
      <c r="B37" s="4" t="str">
        <f t="shared" si="2"/>
        <v>BXX_SLP4_VF1</v>
      </c>
      <c r="C37" s="4" t="str">
        <f>$C$3 &amp; " Alarms Sup Enable"</f>
        <v>BXX Pump 4 Alarms Sup Enable</v>
      </c>
      <c r="D37" s="2">
        <f t="shared" si="1"/>
        <v>28</v>
      </c>
      <c r="E37" t="s">
        <v>14</v>
      </c>
      <c r="F37" t="s">
        <v>13</v>
      </c>
      <c r="G37" s="5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>
        <v>1</v>
      </c>
      <c r="N37" t="s">
        <v>57</v>
      </c>
      <c r="O37" s="4" t="str">
        <f t="shared" si="4"/>
        <v>BXX</v>
      </c>
      <c r="P37" t="s">
        <v>14</v>
      </c>
      <c r="Q37" s="4" t="str">
        <f>$A$3&amp;".PB_AE.SR"</f>
        <v>BXX_SLP4_VF1.PB_AE.SR</v>
      </c>
      <c r="R37" t="s">
        <v>14</v>
      </c>
      <c r="S37" s="4" t="str">
        <f t="shared" si="0"/>
        <v>BXX Pump 4 Alarms Sup Enable</v>
      </c>
      <c r="T37">
        <v>0</v>
      </c>
      <c r="U37">
        <v>0</v>
      </c>
    </row>
    <row r="38" spans="1:21" x14ac:dyDescent="0.25">
      <c r="A38" s="4" t="str">
        <f>$A$5&amp;"_DI_SC"</f>
        <v>BXX_DEV1_SI1_DI_SC</v>
      </c>
      <c r="B38" s="4" t="str">
        <f>$A$5</f>
        <v>BXX_DEV1_SI1</v>
      </c>
      <c r="C38" s="4" t="str">
        <f>$C$5 &amp; " Scan Status"</f>
        <v>BXX Pump 4 Speed Scan Status</v>
      </c>
      <c r="D38" s="2">
        <f t="shared" si="1"/>
        <v>28</v>
      </c>
      <c r="E38" t="s">
        <v>14</v>
      </c>
      <c r="F38" t="s">
        <v>13</v>
      </c>
      <c r="G38" s="5">
        <v>700</v>
      </c>
      <c r="H38" t="s">
        <v>13</v>
      </c>
      <c r="I38" t="s">
        <v>54</v>
      </c>
      <c r="J38" t="s">
        <v>59</v>
      </c>
      <c r="K38" t="s">
        <v>60</v>
      </c>
      <c r="L38" t="s">
        <v>56</v>
      </c>
      <c r="M38">
        <v>1</v>
      </c>
      <c r="N38" t="s">
        <v>57</v>
      </c>
      <c r="O38" s="4" t="str">
        <f>$O$8</f>
        <v>BXX</v>
      </c>
      <c r="P38" t="s">
        <v>14</v>
      </c>
      <c r="Q38" s="4" t="str">
        <f>$A$5&amp;".DI_SC"</f>
        <v>BXX_DEV1_SI1.DI_SC</v>
      </c>
      <c r="R38" t="s">
        <v>14</v>
      </c>
      <c r="S38" s="4" t="str">
        <f t="shared" si="0"/>
        <v>BXX Pump 4 Speed Scan Status</v>
      </c>
      <c r="T38">
        <v>0</v>
      </c>
      <c r="U38">
        <v>0</v>
      </c>
    </row>
    <row r="39" spans="1:21" x14ac:dyDescent="0.25">
      <c r="A39" s="4" t="str">
        <f>$A$5&amp;"_PB_SC"</f>
        <v>BXX_DEV1_SI1_PB_SC</v>
      </c>
      <c r="B39" s="4" t="str">
        <f t="shared" ref="B39:B44" si="5">$A$5</f>
        <v>BXX_DEV1_SI1</v>
      </c>
      <c r="C39" s="4" t="str">
        <f>$C$5 &amp; " Scan Enable"</f>
        <v>BXX Pump 4 Speed Scan Enable</v>
      </c>
      <c r="D39" s="2">
        <f t="shared" si="1"/>
        <v>28</v>
      </c>
      <c r="E39" t="s">
        <v>14</v>
      </c>
      <c r="F39" t="s">
        <v>13</v>
      </c>
      <c r="G39" s="5">
        <v>600</v>
      </c>
      <c r="H39" t="s">
        <v>13</v>
      </c>
      <c r="I39" t="s">
        <v>54</v>
      </c>
      <c r="J39" t="s">
        <v>54</v>
      </c>
      <c r="K39" t="s">
        <v>61</v>
      </c>
      <c r="L39" t="s">
        <v>56</v>
      </c>
      <c r="M39">
        <v>1</v>
      </c>
      <c r="N39" t="s">
        <v>57</v>
      </c>
      <c r="O39" s="4" t="str">
        <f t="shared" ref="O39:O59" si="6">$O$8</f>
        <v>BXX</v>
      </c>
      <c r="P39" t="s">
        <v>14</v>
      </c>
      <c r="Q39" s="4" t="str">
        <f>$A$5&amp;".PB_SC"</f>
        <v>BXX_DEV1_SI1.PB_SC</v>
      </c>
      <c r="R39" t="s">
        <v>14</v>
      </c>
      <c r="S39" s="4" t="str">
        <f t="shared" si="0"/>
        <v>BXX Pump 4 Speed Scan Enable</v>
      </c>
      <c r="T39">
        <v>0</v>
      </c>
      <c r="U39">
        <v>0</v>
      </c>
    </row>
    <row r="40" spans="1:21" x14ac:dyDescent="0.25">
      <c r="A40" s="4" t="str">
        <f>$A$5&amp;"_DA_ER"</f>
        <v>BXX_DEV1_SI1_DA_ER</v>
      </c>
      <c r="B40" s="4" t="str">
        <f t="shared" si="5"/>
        <v>BXX_DEV1_SI1</v>
      </c>
      <c r="C40" s="4" t="str">
        <f>$C$5 &amp; " Signal Error"</f>
        <v>BXX Pump 4 Speed Signal Error</v>
      </c>
      <c r="D40" s="2">
        <f t="shared" si="1"/>
        <v>29</v>
      </c>
      <c r="E40" t="s">
        <v>14</v>
      </c>
      <c r="F40" t="s">
        <v>14</v>
      </c>
      <c r="G40">
        <v>0</v>
      </c>
      <c r="H40" t="s">
        <v>13</v>
      </c>
      <c r="I40" t="s">
        <v>54</v>
      </c>
      <c r="J40" t="s">
        <v>68</v>
      </c>
      <c r="K40" t="s">
        <v>119</v>
      </c>
      <c r="L40" t="s">
        <v>61</v>
      </c>
      <c r="M40" s="5">
        <v>94</v>
      </c>
      <c r="N40" t="s">
        <v>57</v>
      </c>
      <c r="O40" s="4" t="str">
        <f t="shared" si="6"/>
        <v>BXX</v>
      </c>
      <c r="P40" t="s">
        <v>14</v>
      </c>
      <c r="Q40" s="4" t="str">
        <f>$A$5&amp;".DA_ER"</f>
        <v>BXX_DEV1_SI1.DA_ER</v>
      </c>
      <c r="R40" t="s">
        <v>14</v>
      </c>
      <c r="S40" s="4" t="str">
        <f t="shared" si="0"/>
        <v>BXX Pump 4 Speed Signal Error</v>
      </c>
      <c r="T40">
        <v>0</v>
      </c>
      <c r="U40">
        <v>0</v>
      </c>
    </row>
    <row r="41" spans="1:21" x14ac:dyDescent="0.25">
      <c r="A41" s="4" t="str">
        <f>$A$5&amp;"_PB_ER"</f>
        <v>BXX_DEV1_SI1_PB_ER</v>
      </c>
      <c r="B41" s="4" t="str">
        <f t="shared" si="5"/>
        <v>BXX_DEV1_SI1</v>
      </c>
      <c r="C41" s="4" t="str">
        <f>$C$5 &amp; " Sig Error Alarm En"</f>
        <v>BXX Pump 4 Speed Sig Error Alarm En</v>
      </c>
      <c r="D41" s="2">
        <f t="shared" si="1"/>
        <v>35</v>
      </c>
      <c r="E41" t="s">
        <v>14</v>
      </c>
      <c r="F41" t="s">
        <v>13</v>
      </c>
      <c r="G41" s="5">
        <v>600</v>
      </c>
      <c r="H41" t="s">
        <v>13</v>
      </c>
      <c r="I41" t="s">
        <v>54</v>
      </c>
      <c r="J41" t="s">
        <v>60</v>
      </c>
      <c r="K41" t="s">
        <v>59</v>
      </c>
      <c r="L41" t="s">
        <v>56</v>
      </c>
      <c r="M41">
        <v>1</v>
      </c>
      <c r="N41" t="s">
        <v>57</v>
      </c>
      <c r="O41" s="4" t="str">
        <f t="shared" si="6"/>
        <v>BXX</v>
      </c>
      <c r="P41" t="s">
        <v>14</v>
      </c>
      <c r="Q41" s="4" t="str">
        <f>$A$5&amp;".PB_ER.RE"</f>
        <v>BXX_DEV1_SI1.PB_ER.RE</v>
      </c>
      <c r="R41" t="s">
        <v>14</v>
      </c>
      <c r="S41" s="4" t="str">
        <f t="shared" si="0"/>
        <v>BXX Pump 4 Speed Sig Error Alarm En</v>
      </c>
      <c r="T41">
        <v>0</v>
      </c>
      <c r="U41">
        <v>0</v>
      </c>
    </row>
    <row r="42" spans="1:21" x14ac:dyDescent="0.25">
      <c r="A42" s="4" t="str">
        <f>$A$5&amp;"_PB_SV"</f>
        <v>BXX_DEV1_SI1_PB_SV</v>
      </c>
      <c r="B42" s="4" t="str">
        <f t="shared" si="5"/>
        <v>BXX_DEV1_SI1</v>
      </c>
      <c r="C42" s="4" t="str">
        <f>$C$5 &amp; " Override Enable"</f>
        <v>BXX Pump 4 Speed Override Enable</v>
      </c>
      <c r="D42" s="2">
        <f t="shared" si="1"/>
        <v>32</v>
      </c>
      <c r="E42" t="s">
        <v>14</v>
      </c>
      <c r="F42" t="s">
        <v>13</v>
      </c>
      <c r="G42" s="5">
        <v>600</v>
      </c>
      <c r="H42" t="s">
        <v>13</v>
      </c>
      <c r="I42" t="s">
        <v>54</v>
      </c>
      <c r="J42" t="s">
        <v>54</v>
      </c>
      <c r="K42" t="s">
        <v>61</v>
      </c>
      <c r="L42" t="s">
        <v>56</v>
      </c>
      <c r="M42">
        <v>1</v>
      </c>
      <c r="N42" t="s">
        <v>57</v>
      </c>
      <c r="O42" s="4" t="str">
        <f t="shared" si="6"/>
        <v>BXX</v>
      </c>
      <c r="P42" t="s">
        <v>14</v>
      </c>
      <c r="Q42" s="4" t="str">
        <f>$A$5&amp;".PB_SV"</f>
        <v>BXX_DEV1_SI1.PB_SV</v>
      </c>
      <c r="R42" t="s">
        <v>14</v>
      </c>
      <c r="S42" s="4" t="str">
        <f t="shared" si="0"/>
        <v>BXX Pump 4 Speed Override Enable</v>
      </c>
      <c r="T42">
        <v>0</v>
      </c>
      <c r="U42">
        <v>0</v>
      </c>
    </row>
    <row r="43" spans="1:21" x14ac:dyDescent="0.25">
      <c r="A43" s="4" t="str">
        <f>$A$5&amp;"_DA_ZA"</f>
        <v>BXX_DEV1_SI1_DA_ZA</v>
      </c>
      <c r="B43" s="4" t="str">
        <f t="shared" si="5"/>
        <v>BXX_DEV1_SI1</v>
      </c>
      <c r="C43" s="4" t="str">
        <f>$C$5 &amp; " Deviation Alarm"</f>
        <v>BXX Pump 4 Speed Deviation Alarm</v>
      </c>
      <c r="D43" s="2">
        <f t="shared" si="1"/>
        <v>32</v>
      </c>
      <c r="E43" t="s">
        <v>14</v>
      </c>
      <c r="F43" t="s">
        <v>14</v>
      </c>
      <c r="G43">
        <v>0</v>
      </c>
      <c r="H43" t="s">
        <v>13</v>
      </c>
      <c r="I43" t="s">
        <v>54</v>
      </c>
      <c r="J43" t="s">
        <v>68</v>
      </c>
      <c r="K43" t="s">
        <v>119</v>
      </c>
      <c r="L43" t="s">
        <v>61</v>
      </c>
      <c r="M43" s="5">
        <v>330</v>
      </c>
      <c r="N43" t="s">
        <v>57</v>
      </c>
      <c r="O43" s="4" t="str">
        <f t="shared" si="6"/>
        <v>BXX</v>
      </c>
      <c r="P43" t="s">
        <v>14</v>
      </c>
      <c r="Q43" s="4" t="str">
        <f>$A$5&amp;".DA_ZA"</f>
        <v>BXX_DEV1_SI1.DA_ZA</v>
      </c>
      <c r="R43" t="s">
        <v>14</v>
      </c>
      <c r="S43" s="4" t="str">
        <f t="shared" si="0"/>
        <v>BXX Pump 4 Speed Deviation Alarm</v>
      </c>
      <c r="T43">
        <v>0</v>
      </c>
      <c r="U43">
        <v>0</v>
      </c>
    </row>
    <row r="44" spans="1:21" x14ac:dyDescent="0.25">
      <c r="A44" s="4" t="str">
        <f>$A$5&amp;"_PB_ZA"</f>
        <v>BXX_DEV1_SI1_PB_ZA</v>
      </c>
      <c r="B44" s="4" t="str">
        <f t="shared" si="5"/>
        <v>BXX_DEV1_SI1</v>
      </c>
      <c r="C44" s="4" t="str">
        <f>$C$5 &amp; " Deviation Alarm En"</f>
        <v>BXX Pump 4 Speed Deviation Alarm En</v>
      </c>
      <c r="D44" s="2">
        <f t="shared" si="1"/>
        <v>35</v>
      </c>
      <c r="E44" t="s">
        <v>14</v>
      </c>
      <c r="F44" t="s">
        <v>13</v>
      </c>
      <c r="G44" s="5">
        <v>600</v>
      </c>
      <c r="H44" t="s">
        <v>13</v>
      </c>
      <c r="I44" t="s">
        <v>54</v>
      </c>
      <c r="J44" t="s">
        <v>60</v>
      </c>
      <c r="K44" t="s">
        <v>59</v>
      </c>
      <c r="L44" t="s">
        <v>56</v>
      </c>
      <c r="M44">
        <v>1</v>
      </c>
      <c r="N44" t="s">
        <v>57</v>
      </c>
      <c r="O44" s="4" t="str">
        <f t="shared" si="6"/>
        <v>BXX</v>
      </c>
      <c r="P44" t="s">
        <v>14</v>
      </c>
      <c r="Q44" s="4" t="str">
        <f>$A$5&amp;".PB_ZA.RE"</f>
        <v>BXX_DEV1_SI1.PB_ZA.RE</v>
      </c>
      <c r="R44" t="s">
        <v>14</v>
      </c>
      <c r="S44" s="4" t="str">
        <f t="shared" si="0"/>
        <v>BXX Pump 4 Speed Deviation Alarm En</v>
      </c>
      <c r="T44">
        <v>0</v>
      </c>
      <c r="U44">
        <v>0</v>
      </c>
    </row>
    <row r="45" spans="1:21" x14ac:dyDescent="0.25">
      <c r="A45" s="4" t="str">
        <f>$A$3&amp;"_PB_ES_RE"</f>
        <v>BXX_SLP4_VF1_PB_ES_RE</v>
      </c>
      <c r="B45" s="4" t="str">
        <f t="shared" ref="B45:B59" si="7">$A$3</f>
        <v>BXX_SLP4_VF1</v>
      </c>
      <c r="C45" s="4" t="str">
        <f>$C$3&amp;" E-Stop Enable"</f>
        <v>BXX Pump 4 E-Stop Enable</v>
      </c>
      <c r="D45" s="2">
        <f t="shared" si="1"/>
        <v>24</v>
      </c>
      <c r="E45" t="s">
        <v>14</v>
      </c>
      <c r="F45" t="s">
        <v>13</v>
      </c>
      <c r="G45" s="5">
        <v>600</v>
      </c>
      <c r="H45" t="s">
        <v>13</v>
      </c>
      <c r="I45" t="s">
        <v>54</v>
      </c>
      <c r="J45" t="s">
        <v>60</v>
      </c>
      <c r="K45" t="s">
        <v>59</v>
      </c>
      <c r="L45" t="s">
        <v>56</v>
      </c>
      <c r="M45">
        <v>1</v>
      </c>
      <c r="N45" t="s">
        <v>57</v>
      </c>
      <c r="O45" s="4" t="str">
        <f t="shared" si="6"/>
        <v>BXX</v>
      </c>
      <c r="P45" t="s">
        <v>14</v>
      </c>
      <c r="Q45" s="4" t="str">
        <f>$A$3&amp;".DA_ES.RE"</f>
        <v>BXX_SLP4_VF1.DA_ES.RE</v>
      </c>
      <c r="R45" t="s">
        <v>14</v>
      </c>
      <c r="S45" s="4" t="str">
        <f t="shared" si="0"/>
        <v>BXX Pump 4 E-Stop Enable</v>
      </c>
      <c r="T45">
        <v>0</v>
      </c>
      <c r="U45">
        <v>0</v>
      </c>
    </row>
    <row r="46" spans="1:21" x14ac:dyDescent="0.25">
      <c r="A46" s="4" t="str">
        <f>$A$3&amp;"_PB_RA_RE"</f>
        <v>BXX_SLP4_VF1_PB_RA_RE</v>
      </c>
      <c r="B46" s="4" t="str">
        <f t="shared" si="7"/>
        <v>BXX_SLP4_VF1</v>
      </c>
      <c r="C46" s="4" t="str">
        <f>$C$3&amp;" Overload Enable"</f>
        <v>BXX Pump 4 Overload Enable</v>
      </c>
      <c r="D46" s="2">
        <f t="shared" si="1"/>
        <v>26</v>
      </c>
      <c r="E46" t="s">
        <v>14</v>
      </c>
      <c r="F46" t="s">
        <v>13</v>
      </c>
      <c r="G46" s="5">
        <v>600</v>
      </c>
      <c r="H46" t="s">
        <v>13</v>
      </c>
      <c r="I46" t="s">
        <v>54</v>
      </c>
      <c r="J46" t="s">
        <v>60</v>
      </c>
      <c r="K46" t="s">
        <v>59</v>
      </c>
      <c r="L46" t="s">
        <v>56</v>
      </c>
      <c r="M46">
        <v>1</v>
      </c>
      <c r="N46" t="s">
        <v>57</v>
      </c>
      <c r="O46" s="4" t="str">
        <f t="shared" si="6"/>
        <v>BXX</v>
      </c>
      <c r="P46" t="s">
        <v>14</v>
      </c>
      <c r="Q46" s="4" t="str">
        <f>$A$3&amp;".DA_RA.RE"</f>
        <v>BXX_SLP4_VF1.DA_RA.RE</v>
      </c>
      <c r="R46" t="s">
        <v>14</v>
      </c>
      <c r="S46" s="4" t="str">
        <f t="shared" si="0"/>
        <v>BXX Pump 4 Overload Enable</v>
      </c>
      <c r="T46">
        <v>0</v>
      </c>
      <c r="U46">
        <v>0</v>
      </c>
    </row>
    <row r="47" spans="1:21" x14ac:dyDescent="0.25">
      <c r="A47" s="4" t="str">
        <f>$A$3&amp;"_PB_DF_RE"</f>
        <v>BXX_SLP4_VF1_PB_DF_RE</v>
      </c>
      <c r="B47" s="4" t="str">
        <f t="shared" si="7"/>
        <v>BXX_SLP4_VF1</v>
      </c>
      <c r="C47" s="4" t="str">
        <f>$C$3&amp;" Not Ready Enable"</f>
        <v>BXX Pump 4 Not Ready Enable</v>
      </c>
      <c r="D47" s="2">
        <f t="shared" si="1"/>
        <v>27</v>
      </c>
      <c r="E47" t="s">
        <v>14</v>
      </c>
      <c r="F47" t="s">
        <v>13</v>
      </c>
      <c r="G47" s="5">
        <v>600</v>
      </c>
      <c r="H47" t="s">
        <v>13</v>
      </c>
      <c r="I47" t="s">
        <v>54</v>
      </c>
      <c r="J47" t="s">
        <v>60</v>
      </c>
      <c r="K47" t="s">
        <v>59</v>
      </c>
      <c r="L47" t="s">
        <v>56</v>
      </c>
      <c r="M47">
        <v>1</v>
      </c>
      <c r="N47" t="s">
        <v>57</v>
      </c>
      <c r="O47" s="4" t="str">
        <f t="shared" si="6"/>
        <v>BXX</v>
      </c>
      <c r="P47" t="s">
        <v>14</v>
      </c>
      <c r="Q47" s="4" t="str">
        <f>$A$3&amp;".DA_DF.RE"</f>
        <v>BXX_SLP4_VF1.DA_DF.RE</v>
      </c>
      <c r="R47" t="s">
        <v>14</v>
      </c>
      <c r="S47" s="4" t="str">
        <f t="shared" si="0"/>
        <v>BXX Pump 4 Not Ready Enable</v>
      </c>
      <c r="T47">
        <v>0</v>
      </c>
      <c r="U47">
        <v>0</v>
      </c>
    </row>
    <row r="48" spans="1:21" x14ac:dyDescent="0.25">
      <c r="A48" s="4" t="str">
        <f>$A$3&amp;"_PB_GA_RE"</f>
        <v>BXX_SLP4_VF1_PB_GA_RE</v>
      </c>
      <c r="B48" s="4" t="str">
        <f t="shared" si="7"/>
        <v>BXX_SLP4_VF1</v>
      </c>
      <c r="C48" s="4" t="str">
        <f>$C$3&amp;" VFD Fault Enable"</f>
        <v>BXX Pump 4 VFD Fault Enable</v>
      </c>
      <c r="D48" s="2">
        <f t="shared" si="1"/>
        <v>27</v>
      </c>
      <c r="E48" t="s">
        <v>14</v>
      </c>
      <c r="F48" t="s">
        <v>13</v>
      </c>
      <c r="G48" s="5">
        <v>600</v>
      </c>
      <c r="H48" t="s">
        <v>13</v>
      </c>
      <c r="I48" t="s">
        <v>54</v>
      </c>
      <c r="J48" t="s">
        <v>60</v>
      </c>
      <c r="K48" t="s">
        <v>59</v>
      </c>
      <c r="L48" t="s">
        <v>56</v>
      </c>
      <c r="M48">
        <v>1</v>
      </c>
      <c r="N48" t="s">
        <v>57</v>
      </c>
      <c r="O48" s="4" t="str">
        <f t="shared" si="6"/>
        <v>BXX</v>
      </c>
      <c r="P48" t="s">
        <v>14</v>
      </c>
      <c r="Q48" s="4" t="str">
        <f>$A$3&amp;".DA_GA.RE"</f>
        <v>BXX_SLP4_VF1.DA_GA.RE</v>
      </c>
      <c r="R48" t="s">
        <v>14</v>
      </c>
      <c r="S48" s="4" t="str">
        <f t="shared" si="0"/>
        <v>BXX Pump 4 VFD Fault Enable</v>
      </c>
      <c r="T48">
        <v>0</v>
      </c>
      <c r="U48">
        <v>0</v>
      </c>
    </row>
    <row r="49" spans="1:57" x14ac:dyDescent="0.25">
      <c r="A49" s="4" t="str">
        <f>$A$3&amp;"_PB_TA_RE"</f>
        <v>BXX_SLP4_VF1_PB_TA_RE</v>
      </c>
      <c r="B49" s="4" t="str">
        <f t="shared" si="7"/>
        <v>BXX_SLP4_VF1</v>
      </c>
      <c r="C49" s="4" t="str">
        <f>$C$3&amp;" Temp/Leak Alarm Enable"</f>
        <v>BXX Pump 4 Temp/Leak Alarm Enable</v>
      </c>
      <c r="D49" s="2">
        <f t="shared" si="1"/>
        <v>33</v>
      </c>
      <c r="E49" t="s">
        <v>14</v>
      </c>
      <c r="F49" t="s">
        <v>13</v>
      </c>
      <c r="G49" s="5">
        <v>600</v>
      </c>
      <c r="H49" t="s">
        <v>13</v>
      </c>
      <c r="I49" t="s">
        <v>54</v>
      </c>
      <c r="J49" t="s">
        <v>60</v>
      </c>
      <c r="K49" t="s">
        <v>59</v>
      </c>
      <c r="L49" t="s">
        <v>56</v>
      </c>
      <c r="M49">
        <v>1</v>
      </c>
      <c r="N49" t="s">
        <v>57</v>
      </c>
      <c r="O49" s="4" t="str">
        <f t="shared" si="6"/>
        <v>BXX</v>
      </c>
      <c r="P49" t="s">
        <v>14</v>
      </c>
      <c r="Q49" s="4" t="str">
        <f>$A$3&amp;".DA_TA.RE"</f>
        <v>BXX_SLP4_VF1.DA_TA.RE</v>
      </c>
      <c r="R49" t="s">
        <v>14</v>
      </c>
      <c r="S49" s="4" t="str">
        <f t="shared" si="0"/>
        <v>BXX Pump 4 Temp/Leak Alarm Enable</v>
      </c>
      <c r="T49">
        <v>0</v>
      </c>
      <c r="U49">
        <v>0</v>
      </c>
    </row>
    <row r="50" spans="1:57" x14ac:dyDescent="0.25">
      <c r="A50" s="4" t="str">
        <f>$A$3&amp;"_PB_ES_DE"</f>
        <v>BXX_SLP4_VF1_PB_ES_DE</v>
      </c>
      <c r="B50" s="4" t="str">
        <f t="shared" si="7"/>
        <v>BXX_SLP4_VF1</v>
      </c>
      <c r="C50" s="4" t="str">
        <f>$C$3&amp;" E-Stop Dialer Enable"</f>
        <v>BXX Pump 4 E-Stop Dialer Enable</v>
      </c>
      <c r="D50" s="2">
        <f t="shared" si="1"/>
        <v>31</v>
      </c>
      <c r="E50" t="s">
        <v>14</v>
      </c>
      <c r="F50" t="s">
        <v>13</v>
      </c>
      <c r="G50" s="5">
        <v>600</v>
      </c>
      <c r="H50" t="s">
        <v>13</v>
      </c>
      <c r="I50" t="s">
        <v>54</v>
      </c>
      <c r="J50" t="s">
        <v>60</v>
      </c>
      <c r="K50" t="s">
        <v>59</v>
      </c>
      <c r="L50" t="s">
        <v>56</v>
      </c>
      <c r="M50">
        <v>1</v>
      </c>
      <c r="N50" t="s">
        <v>57</v>
      </c>
      <c r="O50" s="4" t="str">
        <f t="shared" si="6"/>
        <v>BXX</v>
      </c>
      <c r="P50" t="s">
        <v>14</v>
      </c>
      <c r="Q50" s="4" t="str">
        <f>$A$3&amp;".DA_ES.DE"</f>
        <v>BXX_SLP4_VF1.DA_ES.DE</v>
      </c>
      <c r="R50" t="s">
        <v>14</v>
      </c>
      <c r="S50" s="4" t="str">
        <f t="shared" si="0"/>
        <v>BXX Pump 4 E-Stop Dialer Enable</v>
      </c>
      <c r="T50">
        <v>0</v>
      </c>
      <c r="U50">
        <v>0</v>
      </c>
    </row>
    <row r="51" spans="1:57" x14ac:dyDescent="0.25">
      <c r="A51" s="4" t="str">
        <f>$A$3&amp;"_PB_RA_DE"</f>
        <v>BXX_SLP4_VF1_PB_RA_DE</v>
      </c>
      <c r="B51" s="4" t="str">
        <f t="shared" si="7"/>
        <v>BXX_SLP4_VF1</v>
      </c>
      <c r="C51" s="4" t="str">
        <f>$C$3&amp;" Overload Dialer Enable"</f>
        <v>BXX Pump 4 Overload Dialer Enable</v>
      </c>
      <c r="D51" s="2">
        <f t="shared" si="1"/>
        <v>33</v>
      </c>
      <c r="E51" t="s">
        <v>14</v>
      </c>
      <c r="F51" t="s">
        <v>13</v>
      </c>
      <c r="G51" s="5">
        <v>600</v>
      </c>
      <c r="H51" t="s">
        <v>13</v>
      </c>
      <c r="I51" t="s">
        <v>54</v>
      </c>
      <c r="J51" t="s">
        <v>60</v>
      </c>
      <c r="K51" t="s">
        <v>59</v>
      </c>
      <c r="L51" t="s">
        <v>56</v>
      </c>
      <c r="M51">
        <v>1</v>
      </c>
      <c r="N51" t="s">
        <v>57</v>
      </c>
      <c r="O51" s="4" t="str">
        <f t="shared" si="6"/>
        <v>BXX</v>
      </c>
      <c r="P51" t="s">
        <v>14</v>
      </c>
      <c r="Q51" s="4" t="str">
        <f>$A$3&amp;".DA_RA.DE"</f>
        <v>BXX_SLP4_VF1.DA_RA.DE</v>
      </c>
      <c r="R51" t="s">
        <v>14</v>
      </c>
      <c r="S51" s="4" t="str">
        <f t="shared" si="0"/>
        <v>BXX Pump 4 Overload Dialer Enable</v>
      </c>
      <c r="T51">
        <v>0</v>
      </c>
      <c r="U51">
        <v>0</v>
      </c>
    </row>
    <row r="52" spans="1:57" x14ac:dyDescent="0.25">
      <c r="A52" s="4" t="str">
        <f>$A$3&amp;"_PB_DF_DE"</f>
        <v>BXX_SLP4_VF1_PB_DF_DE</v>
      </c>
      <c r="B52" s="4" t="str">
        <f t="shared" si="7"/>
        <v>BXX_SLP4_VF1</v>
      </c>
      <c r="C52" s="4" t="str">
        <f>$C$3&amp;" Not Ready Dialer Enable"</f>
        <v>BXX Pump 4 Not Ready Dialer Enable</v>
      </c>
      <c r="D52" s="2">
        <f t="shared" si="1"/>
        <v>34</v>
      </c>
      <c r="E52" t="s">
        <v>14</v>
      </c>
      <c r="F52" t="s">
        <v>13</v>
      </c>
      <c r="G52" s="5">
        <v>600</v>
      </c>
      <c r="H52" t="s">
        <v>13</v>
      </c>
      <c r="I52" t="s">
        <v>54</v>
      </c>
      <c r="J52" t="s">
        <v>60</v>
      </c>
      <c r="K52" t="s">
        <v>59</v>
      </c>
      <c r="L52" t="s">
        <v>56</v>
      </c>
      <c r="M52">
        <v>1</v>
      </c>
      <c r="N52" t="s">
        <v>57</v>
      </c>
      <c r="O52" s="4" t="str">
        <f t="shared" si="6"/>
        <v>BXX</v>
      </c>
      <c r="P52" t="s">
        <v>14</v>
      </c>
      <c r="Q52" s="4" t="str">
        <f>$A$3&amp;".DA_DF.DE"</f>
        <v>BXX_SLP4_VF1.DA_DF.DE</v>
      </c>
      <c r="R52" t="s">
        <v>14</v>
      </c>
      <c r="S52" s="4" t="str">
        <f t="shared" si="0"/>
        <v>BXX Pump 4 Not Ready Dialer Enable</v>
      </c>
      <c r="T52">
        <v>0</v>
      </c>
      <c r="U52">
        <v>0</v>
      </c>
    </row>
    <row r="53" spans="1:57" x14ac:dyDescent="0.25">
      <c r="A53" s="4" t="str">
        <f>$A$3&amp;"_PB_GA_DE"</f>
        <v>BXX_SLP4_VF1_PB_GA_DE</v>
      </c>
      <c r="B53" s="4" t="str">
        <f t="shared" si="7"/>
        <v>BXX_SLP4_VF1</v>
      </c>
      <c r="C53" s="4" t="str">
        <f>$C$3&amp;" VFD Fault Dialer Enable"</f>
        <v>BXX Pump 4 VFD Fault Dialer Enable</v>
      </c>
      <c r="D53" s="2">
        <f t="shared" si="1"/>
        <v>34</v>
      </c>
      <c r="E53" t="s">
        <v>14</v>
      </c>
      <c r="F53" t="s">
        <v>13</v>
      </c>
      <c r="G53" s="5">
        <v>600</v>
      </c>
      <c r="H53" t="s">
        <v>13</v>
      </c>
      <c r="I53" t="s">
        <v>54</v>
      </c>
      <c r="J53" t="s">
        <v>60</v>
      </c>
      <c r="K53" t="s">
        <v>59</v>
      </c>
      <c r="L53" t="s">
        <v>56</v>
      </c>
      <c r="M53">
        <v>1</v>
      </c>
      <c r="N53" t="s">
        <v>57</v>
      </c>
      <c r="O53" s="4" t="str">
        <f t="shared" si="6"/>
        <v>BXX</v>
      </c>
      <c r="P53" t="s">
        <v>14</v>
      </c>
      <c r="Q53" s="4" t="str">
        <f>$A$3&amp;".DA_GA.DE"</f>
        <v>BXX_SLP4_VF1.DA_GA.DE</v>
      </c>
      <c r="R53" t="s">
        <v>14</v>
      </c>
      <c r="S53" s="4" t="str">
        <f t="shared" si="0"/>
        <v>BXX Pump 4 VFD Fault Dialer Enable</v>
      </c>
      <c r="T53">
        <v>0</v>
      </c>
      <c r="U53">
        <v>0</v>
      </c>
    </row>
    <row r="54" spans="1:57" x14ac:dyDescent="0.25">
      <c r="A54" s="4" t="str">
        <f>$A$3&amp;"_PB_TA_DE"</f>
        <v>BXX_SLP4_VF1_PB_TA_DE</v>
      </c>
      <c r="B54" s="4" t="str">
        <f t="shared" si="7"/>
        <v>BXX_SLP4_VF1</v>
      </c>
      <c r="C54" s="4" t="str">
        <f>$C$3&amp;" Temp/Leak Dialer Enable"</f>
        <v>BXX Pump 4 Temp/Leak Dialer Enable</v>
      </c>
      <c r="D54" s="2">
        <f t="shared" si="1"/>
        <v>34</v>
      </c>
      <c r="E54" t="s">
        <v>14</v>
      </c>
      <c r="F54" t="s">
        <v>13</v>
      </c>
      <c r="G54" s="5">
        <v>600</v>
      </c>
      <c r="H54" t="s">
        <v>13</v>
      </c>
      <c r="I54" t="s">
        <v>54</v>
      </c>
      <c r="J54" t="s">
        <v>60</v>
      </c>
      <c r="K54" t="s">
        <v>59</v>
      </c>
      <c r="L54" t="s">
        <v>56</v>
      </c>
      <c r="M54">
        <v>1</v>
      </c>
      <c r="N54" t="s">
        <v>57</v>
      </c>
      <c r="O54" s="4" t="str">
        <f t="shared" si="6"/>
        <v>BXX</v>
      </c>
      <c r="P54" t="s">
        <v>14</v>
      </c>
      <c r="Q54" s="4" t="str">
        <f>$A$3&amp;".DA_TA.DE"</f>
        <v>BXX_SLP4_VF1.DA_TA.DE</v>
      </c>
      <c r="R54" t="s">
        <v>14</v>
      </c>
      <c r="S54" s="4" t="str">
        <f t="shared" si="0"/>
        <v>BXX Pump 4 Temp/Leak Dialer Enable</v>
      </c>
      <c r="T54">
        <v>0</v>
      </c>
      <c r="U54">
        <v>0</v>
      </c>
    </row>
    <row r="55" spans="1:57" x14ac:dyDescent="0.25">
      <c r="A55" s="4" t="str">
        <f>$A$3&amp;"_PB_ES_SR"</f>
        <v>BXX_SLP4_VF1_PB_ES_SR</v>
      </c>
      <c r="B55" s="4" t="str">
        <f t="shared" si="7"/>
        <v>BXX_SLP4_VF1</v>
      </c>
      <c r="C55" s="4" t="str">
        <f>$C$3&amp;" E-Stop Sup Enable"</f>
        <v>BXX Pump 4 E-Stop Sup Enable</v>
      </c>
      <c r="D55" s="2">
        <f t="shared" si="1"/>
        <v>28</v>
      </c>
      <c r="E55" t="s">
        <v>14</v>
      </c>
      <c r="F55" t="s">
        <v>13</v>
      </c>
      <c r="G55" s="5">
        <v>600</v>
      </c>
      <c r="H55" t="s">
        <v>13</v>
      </c>
      <c r="I55" t="s">
        <v>54</v>
      </c>
      <c r="J55" t="s">
        <v>60</v>
      </c>
      <c r="K55" t="s">
        <v>59</v>
      </c>
      <c r="L55" t="s">
        <v>56</v>
      </c>
      <c r="M55">
        <v>1</v>
      </c>
      <c r="N55" t="s">
        <v>57</v>
      </c>
      <c r="O55" s="4" t="str">
        <f t="shared" si="6"/>
        <v>BXX</v>
      </c>
      <c r="P55" t="s">
        <v>14</v>
      </c>
      <c r="Q55" s="4" t="str">
        <f>$A$3&amp;".DA_ES.SR"</f>
        <v>BXX_SLP4_VF1.DA_ES.SR</v>
      </c>
      <c r="R55" t="s">
        <v>14</v>
      </c>
      <c r="S55" s="4" t="str">
        <f t="shared" si="0"/>
        <v>BXX Pump 4 E-Stop Sup Enable</v>
      </c>
      <c r="T55">
        <v>0</v>
      </c>
      <c r="U55">
        <v>0</v>
      </c>
    </row>
    <row r="56" spans="1:57" x14ac:dyDescent="0.25">
      <c r="A56" s="4" t="str">
        <f>$A$3&amp;"_PB_RA_SR"</f>
        <v>BXX_SLP4_VF1_PB_RA_SR</v>
      </c>
      <c r="B56" s="4" t="str">
        <f t="shared" si="7"/>
        <v>BXX_SLP4_VF1</v>
      </c>
      <c r="C56" s="4" t="str">
        <f>$C$3&amp;" Overload Sup Enable"</f>
        <v>BXX Pump 4 Overload Sup Enable</v>
      </c>
      <c r="D56" s="2">
        <f t="shared" si="1"/>
        <v>30</v>
      </c>
      <c r="E56" t="s">
        <v>14</v>
      </c>
      <c r="F56" t="s">
        <v>13</v>
      </c>
      <c r="G56" s="5">
        <v>600</v>
      </c>
      <c r="H56" t="s">
        <v>13</v>
      </c>
      <c r="I56" t="s">
        <v>54</v>
      </c>
      <c r="J56" t="s">
        <v>60</v>
      </c>
      <c r="K56" t="s">
        <v>59</v>
      </c>
      <c r="L56" t="s">
        <v>56</v>
      </c>
      <c r="M56">
        <v>1</v>
      </c>
      <c r="N56" t="s">
        <v>57</v>
      </c>
      <c r="O56" s="4" t="str">
        <f t="shared" si="6"/>
        <v>BXX</v>
      </c>
      <c r="P56" t="s">
        <v>14</v>
      </c>
      <c r="Q56" s="4" t="str">
        <f>$A$3&amp;".DA_RA.SR"</f>
        <v>BXX_SLP4_VF1.DA_RA.SR</v>
      </c>
      <c r="R56" t="s">
        <v>14</v>
      </c>
      <c r="S56" s="4" t="str">
        <f t="shared" si="0"/>
        <v>BXX Pump 4 Overload Sup Enable</v>
      </c>
      <c r="T56">
        <v>0</v>
      </c>
      <c r="U56">
        <v>0</v>
      </c>
    </row>
    <row r="57" spans="1:57" x14ac:dyDescent="0.25">
      <c r="A57" s="4" t="str">
        <f>$A$3&amp;"_PB_DF_SR"</f>
        <v>BXX_SLP4_VF1_PB_DF_SR</v>
      </c>
      <c r="B57" s="4" t="str">
        <f t="shared" si="7"/>
        <v>BXX_SLP4_VF1</v>
      </c>
      <c r="C57" s="4" t="str">
        <f>$C$3&amp;" Not Ready Sup Enable"</f>
        <v>BXX Pump 4 Not Ready Sup Enable</v>
      </c>
      <c r="D57" s="2">
        <f t="shared" si="1"/>
        <v>31</v>
      </c>
      <c r="E57" t="s">
        <v>14</v>
      </c>
      <c r="F57" t="s">
        <v>13</v>
      </c>
      <c r="G57" s="5">
        <v>600</v>
      </c>
      <c r="H57" t="s">
        <v>13</v>
      </c>
      <c r="I57" t="s">
        <v>54</v>
      </c>
      <c r="J57" t="s">
        <v>60</v>
      </c>
      <c r="K57" t="s">
        <v>59</v>
      </c>
      <c r="L57" t="s">
        <v>56</v>
      </c>
      <c r="M57">
        <v>1</v>
      </c>
      <c r="N57" t="s">
        <v>57</v>
      </c>
      <c r="O57" s="4" t="str">
        <f t="shared" si="6"/>
        <v>BXX</v>
      </c>
      <c r="P57" t="s">
        <v>14</v>
      </c>
      <c r="Q57" s="4" t="str">
        <f>$A$3&amp;".DA_DF.SR"</f>
        <v>BXX_SLP4_VF1.DA_DF.SR</v>
      </c>
      <c r="R57" t="s">
        <v>14</v>
      </c>
      <c r="S57" s="4" t="str">
        <f t="shared" si="0"/>
        <v>BXX Pump 4 Not Ready Sup Enable</v>
      </c>
      <c r="T57">
        <v>0</v>
      </c>
      <c r="U57">
        <v>0</v>
      </c>
    </row>
    <row r="58" spans="1:57" x14ac:dyDescent="0.25">
      <c r="A58" s="4" t="str">
        <f>$A$3&amp;"_PB_GA_SR"</f>
        <v>BXX_SLP4_VF1_PB_GA_SR</v>
      </c>
      <c r="B58" s="4" t="str">
        <f t="shared" si="7"/>
        <v>BXX_SLP4_VF1</v>
      </c>
      <c r="C58" s="4" t="str">
        <f>$C$3&amp;" VFD Fault Sup Enable"</f>
        <v>BXX Pump 4 VFD Fault Sup Enable</v>
      </c>
      <c r="D58" s="2">
        <f t="shared" si="1"/>
        <v>31</v>
      </c>
      <c r="E58" t="s">
        <v>14</v>
      </c>
      <c r="F58" t="s">
        <v>13</v>
      </c>
      <c r="G58" s="5">
        <v>600</v>
      </c>
      <c r="H58" t="s">
        <v>13</v>
      </c>
      <c r="I58" t="s">
        <v>54</v>
      </c>
      <c r="J58" t="s">
        <v>60</v>
      </c>
      <c r="K58" t="s">
        <v>59</v>
      </c>
      <c r="L58" t="s">
        <v>56</v>
      </c>
      <c r="M58">
        <v>1</v>
      </c>
      <c r="N58" t="s">
        <v>57</v>
      </c>
      <c r="O58" s="4" t="str">
        <f t="shared" si="6"/>
        <v>BXX</v>
      </c>
      <c r="P58" t="s">
        <v>14</v>
      </c>
      <c r="Q58" s="4" t="str">
        <f>$A$3&amp;".DA_GA.SR"</f>
        <v>BXX_SLP4_VF1.DA_GA.SR</v>
      </c>
      <c r="R58" t="s">
        <v>14</v>
      </c>
      <c r="S58" s="4" t="str">
        <f t="shared" si="0"/>
        <v>BXX Pump 4 VFD Fault Sup Enable</v>
      </c>
      <c r="T58">
        <v>0</v>
      </c>
      <c r="U58">
        <v>0</v>
      </c>
    </row>
    <row r="59" spans="1:57" x14ac:dyDescent="0.25">
      <c r="A59" s="4" t="str">
        <f>$A$3&amp;"_PB_TA_SR"</f>
        <v>BXX_SLP4_VF1_PB_TA_SR</v>
      </c>
      <c r="B59" s="4" t="str">
        <f t="shared" si="7"/>
        <v>BXX_SLP4_VF1</v>
      </c>
      <c r="C59" s="4" t="str">
        <f>$C$3&amp;" Temp/Leak Sup Enable"</f>
        <v>BXX Pump 4 Temp/Leak Sup Enable</v>
      </c>
      <c r="D59" s="2">
        <f t="shared" si="1"/>
        <v>31</v>
      </c>
      <c r="E59" t="s">
        <v>14</v>
      </c>
      <c r="F59" t="s">
        <v>13</v>
      </c>
      <c r="G59" s="5">
        <v>600</v>
      </c>
      <c r="H59" t="s">
        <v>13</v>
      </c>
      <c r="I59" t="s">
        <v>54</v>
      </c>
      <c r="J59" t="s">
        <v>60</v>
      </c>
      <c r="K59" t="s">
        <v>59</v>
      </c>
      <c r="L59" t="s">
        <v>56</v>
      </c>
      <c r="M59">
        <v>1</v>
      </c>
      <c r="N59" t="s">
        <v>57</v>
      </c>
      <c r="O59" s="4" t="str">
        <f t="shared" si="6"/>
        <v>BXX</v>
      </c>
      <c r="P59" t="s">
        <v>14</v>
      </c>
      <c r="Q59" s="4" t="str">
        <f>$A$3&amp;".DA_TA.SR"</f>
        <v>BXX_SLP4_VF1.DA_TA.SR</v>
      </c>
      <c r="R59" t="s">
        <v>14</v>
      </c>
      <c r="S59" s="4" t="str">
        <f t="shared" si="0"/>
        <v>BXX Pump 4 Temp/Leak Sup Enable</v>
      </c>
      <c r="T59">
        <v>0</v>
      </c>
      <c r="U59">
        <v>0</v>
      </c>
    </row>
    <row r="60" spans="1:57" x14ac:dyDescent="0.25">
      <c r="A60" t="s">
        <v>186</v>
      </c>
      <c r="B60" t="s">
        <v>16</v>
      </c>
      <c r="C60" t="s">
        <v>17</v>
      </c>
      <c r="D60"/>
      <c r="E60" t="s">
        <v>39</v>
      </c>
      <c r="F60" t="s">
        <v>18</v>
      </c>
      <c r="G60" t="s">
        <v>19</v>
      </c>
      <c r="H60" t="s">
        <v>40</v>
      </c>
      <c r="I60" t="s">
        <v>71</v>
      </c>
      <c r="J60" t="s">
        <v>72</v>
      </c>
      <c r="K60" t="s">
        <v>73</v>
      </c>
      <c r="L60" t="s">
        <v>74</v>
      </c>
      <c r="M60" t="s">
        <v>75</v>
      </c>
      <c r="N60" t="s">
        <v>187</v>
      </c>
      <c r="O60" t="s">
        <v>188</v>
      </c>
      <c r="P60" t="s">
        <v>78</v>
      </c>
      <c r="Q60" t="s">
        <v>79</v>
      </c>
      <c r="R60" t="s">
        <v>80</v>
      </c>
      <c r="S60" t="s">
        <v>81</v>
      </c>
      <c r="T60" t="s">
        <v>82</v>
      </c>
      <c r="U60" t="s">
        <v>83</v>
      </c>
      <c r="V60" t="s">
        <v>84</v>
      </c>
      <c r="W60" t="s">
        <v>85</v>
      </c>
      <c r="X60" t="s">
        <v>86</v>
      </c>
      <c r="Y60" t="s">
        <v>87</v>
      </c>
      <c r="Z60" t="s">
        <v>88</v>
      </c>
      <c r="AA60" t="s">
        <v>89</v>
      </c>
      <c r="AB60" t="s">
        <v>90</v>
      </c>
      <c r="AC60" t="s">
        <v>91</v>
      </c>
      <c r="AD60" t="s">
        <v>92</v>
      </c>
      <c r="AE60" t="s">
        <v>93</v>
      </c>
      <c r="AF60" t="s">
        <v>94</v>
      </c>
      <c r="AG60" t="s">
        <v>95</v>
      </c>
      <c r="AH60" t="s">
        <v>96</v>
      </c>
      <c r="AI60" t="s">
        <v>97</v>
      </c>
      <c r="AJ60" t="s">
        <v>98</v>
      </c>
      <c r="AK60" t="s">
        <v>99</v>
      </c>
      <c r="AL60" t="s">
        <v>100</v>
      </c>
      <c r="AM60" t="s">
        <v>101</v>
      </c>
      <c r="AN60" t="s">
        <v>102</v>
      </c>
      <c r="AO60" t="s">
        <v>51</v>
      </c>
      <c r="AP60" t="s">
        <v>52</v>
      </c>
      <c r="AQ60" t="s">
        <v>20</v>
      </c>
      <c r="AR60" t="s">
        <v>21</v>
      </c>
      <c r="AS60" t="s">
        <v>22</v>
      </c>
      <c r="AT60" t="s">
        <v>23</v>
      </c>
      <c r="AU60" t="s">
        <v>24</v>
      </c>
      <c r="AV60" t="s">
        <v>25</v>
      </c>
      <c r="AW60" t="s">
        <v>26</v>
      </c>
      <c r="AX60" t="s">
        <v>28</v>
      </c>
      <c r="AY60" t="s">
        <v>29</v>
      </c>
      <c r="AZ60" t="s">
        <v>30</v>
      </c>
      <c r="BA60" t="s">
        <v>31</v>
      </c>
      <c r="BB60" t="s">
        <v>32</v>
      </c>
      <c r="BC60" t="s">
        <v>33</v>
      </c>
      <c r="BD60" t="s">
        <v>34</v>
      </c>
      <c r="BE60" t="s">
        <v>53</v>
      </c>
    </row>
    <row r="61" spans="1:57" x14ac:dyDescent="0.25">
      <c r="A61" t="s">
        <v>189</v>
      </c>
      <c r="B61" t="s">
        <v>127</v>
      </c>
      <c r="C61" t="s">
        <v>190</v>
      </c>
      <c r="E61" t="s">
        <v>14</v>
      </c>
      <c r="F61" t="s">
        <v>14</v>
      </c>
      <c r="G61">
        <v>0</v>
      </c>
      <c r="H61" t="s">
        <v>14</v>
      </c>
      <c r="I61" t="s">
        <v>14</v>
      </c>
      <c r="J61">
        <v>0</v>
      </c>
      <c r="K61">
        <v>0</v>
      </c>
      <c r="M61">
        <v>0</v>
      </c>
      <c r="N61">
        <v>0</v>
      </c>
      <c r="O61">
        <v>9999</v>
      </c>
      <c r="P61">
        <v>0</v>
      </c>
      <c r="Q61">
        <v>0</v>
      </c>
      <c r="R61" t="s">
        <v>54</v>
      </c>
      <c r="S61">
        <v>0</v>
      </c>
      <c r="T61">
        <v>1</v>
      </c>
      <c r="U61" t="s">
        <v>54</v>
      </c>
      <c r="V61">
        <v>0</v>
      </c>
      <c r="W61">
        <v>1</v>
      </c>
      <c r="X61" t="s">
        <v>54</v>
      </c>
      <c r="Y61">
        <v>0</v>
      </c>
      <c r="Z61">
        <v>1</v>
      </c>
      <c r="AA61" t="s">
        <v>54</v>
      </c>
      <c r="AB61">
        <v>0</v>
      </c>
      <c r="AC61">
        <v>1</v>
      </c>
      <c r="AD61" t="s">
        <v>54</v>
      </c>
      <c r="AE61">
        <v>0</v>
      </c>
      <c r="AF61">
        <v>1</v>
      </c>
      <c r="AG61" t="s">
        <v>54</v>
      </c>
      <c r="AH61">
        <v>0</v>
      </c>
      <c r="AI61">
        <v>1</v>
      </c>
      <c r="AJ61">
        <v>0</v>
      </c>
      <c r="AK61" t="s">
        <v>54</v>
      </c>
      <c r="AL61">
        <v>0</v>
      </c>
      <c r="AM61">
        <v>1</v>
      </c>
      <c r="AN61" t="s">
        <v>107</v>
      </c>
      <c r="AO61" t="s">
        <v>190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</row>
    <row r="62" spans="1:57" x14ac:dyDescent="0.25">
      <c r="A62" t="s">
        <v>191</v>
      </c>
      <c r="B62" t="s">
        <v>127</v>
      </c>
      <c r="C62" t="s">
        <v>190</v>
      </c>
      <c r="E62" t="s">
        <v>14</v>
      </c>
      <c r="F62" t="s">
        <v>14</v>
      </c>
      <c r="G62">
        <v>0</v>
      </c>
      <c r="H62" t="s">
        <v>14</v>
      </c>
      <c r="I62" t="s">
        <v>14</v>
      </c>
      <c r="J62">
        <v>0</v>
      </c>
      <c r="K62">
        <v>0</v>
      </c>
      <c r="M62">
        <v>0</v>
      </c>
      <c r="N62">
        <v>0</v>
      </c>
      <c r="O62">
        <v>9999</v>
      </c>
      <c r="P62">
        <v>0</v>
      </c>
      <c r="Q62">
        <v>0</v>
      </c>
      <c r="R62" t="s">
        <v>54</v>
      </c>
      <c r="S62">
        <v>0</v>
      </c>
      <c r="T62">
        <v>1</v>
      </c>
      <c r="U62" t="s">
        <v>54</v>
      </c>
      <c r="V62">
        <v>0</v>
      </c>
      <c r="W62">
        <v>1</v>
      </c>
      <c r="X62" t="s">
        <v>54</v>
      </c>
      <c r="Y62">
        <v>0</v>
      </c>
      <c r="Z62">
        <v>1</v>
      </c>
      <c r="AA62" t="s">
        <v>54</v>
      </c>
      <c r="AB62">
        <v>0</v>
      </c>
      <c r="AC62">
        <v>1</v>
      </c>
      <c r="AD62" t="s">
        <v>54</v>
      </c>
      <c r="AE62">
        <v>0</v>
      </c>
      <c r="AF62">
        <v>1</v>
      </c>
      <c r="AG62" t="s">
        <v>54</v>
      </c>
      <c r="AH62">
        <v>0</v>
      </c>
      <c r="AI62">
        <v>1</v>
      </c>
      <c r="AJ62">
        <v>0</v>
      </c>
      <c r="AK62" t="s">
        <v>54</v>
      </c>
      <c r="AL62">
        <v>0</v>
      </c>
      <c r="AM62">
        <v>1</v>
      </c>
      <c r="AN62" t="s">
        <v>107</v>
      </c>
      <c r="AO62" t="s">
        <v>190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</row>
    <row r="63" spans="1:57" x14ac:dyDescent="0.25">
      <c r="A63" t="s">
        <v>192</v>
      </c>
      <c r="B63" t="s">
        <v>127</v>
      </c>
      <c r="C63" t="s">
        <v>190</v>
      </c>
      <c r="E63" t="s">
        <v>14</v>
      </c>
      <c r="F63" t="s">
        <v>14</v>
      </c>
      <c r="G63">
        <v>0</v>
      </c>
      <c r="H63" t="s">
        <v>14</v>
      </c>
      <c r="I63" t="s">
        <v>14</v>
      </c>
      <c r="J63">
        <v>0</v>
      </c>
      <c r="K63">
        <v>0</v>
      </c>
      <c r="M63">
        <v>0</v>
      </c>
      <c r="N63">
        <v>0</v>
      </c>
      <c r="O63">
        <v>9999</v>
      </c>
      <c r="P63">
        <v>0</v>
      </c>
      <c r="Q63">
        <v>0</v>
      </c>
      <c r="R63" t="s">
        <v>54</v>
      </c>
      <c r="S63">
        <v>0</v>
      </c>
      <c r="T63">
        <v>1</v>
      </c>
      <c r="U63" t="s">
        <v>54</v>
      </c>
      <c r="V63">
        <v>0</v>
      </c>
      <c r="W63">
        <v>1</v>
      </c>
      <c r="X63" t="s">
        <v>54</v>
      </c>
      <c r="Y63">
        <v>0</v>
      </c>
      <c r="Z63">
        <v>1</v>
      </c>
      <c r="AA63" t="s">
        <v>54</v>
      </c>
      <c r="AB63">
        <v>0</v>
      </c>
      <c r="AC63">
        <v>1</v>
      </c>
      <c r="AD63" t="s">
        <v>54</v>
      </c>
      <c r="AE63">
        <v>0</v>
      </c>
      <c r="AF63">
        <v>1</v>
      </c>
      <c r="AG63" t="s">
        <v>54</v>
      </c>
      <c r="AH63">
        <v>0</v>
      </c>
      <c r="AI63">
        <v>1</v>
      </c>
      <c r="AJ63">
        <v>0</v>
      </c>
      <c r="AK63" t="s">
        <v>54</v>
      </c>
      <c r="AL63">
        <v>0</v>
      </c>
      <c r="AM63">
        <v>1</v>
      </c>
      <c r="AN63" t="s">
        <v>107</v>
      </c>
      <c r="AO63" t="s">
        <v>190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</row>
    <row r="64" spans="1:57" x14ac:dyDescent="0.25">
      <c r="A64" t="s">
        <v>173</v>
      </c>
      <c r="B64" t="s">
        <v>127</v>
      </c>
      <c r="C64" t="s">
        <v>174</v>
      </c>
      <c r="E64" t="s">
        <v>14</v>
      </c>
      <c r="F64" t="s">
        <v>14</v>
      </c>
      <c r="G64">
        <v>0</v>
      </c>
      <c r="H64" t="s">
        <v>14</v>
      </c>
      <c r="I64" t="s">
        <v>14</v>
      </c>
      <c r="J64">
        <v>0</v>
      </c>
      <c r="K64">
        <v>0</v>
      </c>
      <c r="M64">
        <v>0</v>
      </c>
      <c r="N64">
        <v>0</v>
      </c>
      <c r="O64">
        <v>9999</v>
      </c>
      <c r="P64">
        <v>0</v>
      </c>
      <c r="Q64">
        <v>0</v>
      </c>
      <c r="R64" t="s">
        <v>54</v>
      </c>
      <c r="S64">
        <v>0</v>
      </c>
      <c r="T64">
        <v>1</v>
      </c>
      <c r="U64" t="s">
        <v>54</v>
      </c>
      <c r="V64">
        <v>0</v>
      </c>
      <c r="W64">
        <v>1</v>
      </c>
      <c r="X64" t="s">
        <v>54</v>
      </c>
      <c r="Y64">
        <v>0</v>
      </c>
      <c r="Z64">
        <v>1</v>
      </c>
      <c r="AA64" t="s">
        <v>54</v>
      </c>
      <c r="AB64">
        <v>0</v>
      </c>
      <c r="AC64">
        <v>1</v>
      </c>
      <c r="AD64" t="s">
        <v>54</v>
      </c>
      <c r="AE64">
        <v>0</v>
      </c>
      <c r="AF64">
        <v>1</v>
      </c>
      <c r="AG64" t="s">
        <v>54</v>
      </c>
      <c r="AH64">
        <v>0</v>
      </c>
      <c r="AI64">
        <v>1</v>
      </c>
      <c r="AJ64">
        <v>0</v>
      </c>
      <c r="AK64" t="s">
        <v>54</v>
      </c>
      <c r="AL64">
        <v>0</v>
      </c>
      <c r="AM64">
        <v>1</v>
      </c>
      <c r="AN64" t="s">
        <v>107</v>
      </c>
      <c r="AO64" t="s">
        <v>174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</row>
    <row r="65" spans="1:64" x14ac:dyDescent="0.25">
      <c r="A65" s="5" t="s">
        <v>120</v>
      </c>
      <c r="B65" t="s">
        <v>16</v>
      </c>
      <c r="C65" t="s">
        <v>17</v>
      </c>
      <c r="D65" s="2">
        <f t="shared" ref="D65:D80" si="8">LEN(C65)</f>
        <v>7</v>
      </c>
      <c r="E65" t="s">
        <v>39</v>
      </c>
      <c r="F65" t="s">
        <v>18</v>
      </c>
      <c r="G65" t="s">
        <v>19</v>
      </c>
      <c r="H65" t="s">
        <v>40</v>
      </c>
      <c r="I65" t="s">
        <v>71</v>
      </c>
      <c r="J65" t="s">
        <v>72</v>
      </c>
      <c r="K65" t="s">
        <v>73</v>
      </c>
      <c r="L65" t="s">
        <v>74</v>
      </c>
      <c r="M65" t="s">
        <v>75</v>
      </c>
      <c r="N65" t="s">
        <v>76</v>
      </c>
      <c r="O65" t="s">
        <v>77</v>
      </c>
      <c r="P65" t="s">
        <v>78</v>
      </c>
      <c r="Q65" t="s">
        <v>79</v>
      </c>
      <c r="R65" t="s">
        <v>80</v>
      </c>
      <c r="S65" t="s">
        <v>81</v>
      </c>
      <c r="T65" t="s">
        <v>82</v>
      </c>
      <c r="U65" t="s">
        <v>83</v>
      </c>
      <c r="V65" t="s">
        <v>84</v>
      </c>
      <c r="W65" t="s">
        <v>85</v>
      </c>
      <c r="X65" t="s">
        <v>86</v>
      </c>
      <c r="Y65" t="s">
        <v>87</v>
      </c>
      <c r="Z65" t="s">
        <v>88</v>
      </c>
      <c r="AA65" t="s">
        <v>89</v>
      </c>
      <c r="AB65" t="s">
        <v>90</v>
      </c>
      <c r="AC65" t="s">
        <v>91</v>
      </c>
      <c r="AD65" t="s">
        <v>92</v>
      </c>
      <c r="AE65" t="s">
        <v>93</v>
      </c>
      <c r="AF65" t="s">
        <v>94</v>
      </c>
      <c r="AG65" t="s">
        <v>95</v>
      </c>
      <c r="AH65" t="s">
        <v>96</v>
      </c>
      <c r="AI65" t="s">
        <v>97</v>
      </c>
      <c r="AJ65" t="s">
        <v>98</v>
      </c>
      <c r="AK65" t="s">
        <v>99</v>
      </c>
      <c r="AL65" t="s">
        <v>100</v>
      </c>
      <c r="AM65" t="s">
        <v>101</v>
      </c>
      <c r="AN65" t="s">
        <v>102</v>
      </c>
      <c r="AO65" t="s">
        <v>103</v>
      </c>
      <c r="AP65" t="s">
        <v>104</v>
      </c>
      <c r="AQ65" t="s">
        <v>105</v>
      </c>
      <c r="AR65" t="s">
        <v>47</v>
      </c>
      <c r="AS65" t="s">
        <v>48</v>
      </c>
      <c r="AT65" t="s">
        <v>49</v>
      </c>
      <c r="AU65" t="s">
        <v>50</v>
      </c>
      <c r="AV65" t="s">
        <v>51</v>
      </c>
      <c r="AW65" t="s">
        <v>52</v>
      </c>
      <c r="AX65" t="s">
        <v>20</v>
      </c>
      <c r="AY65" t="s">
        <v>21</v>
      </c>
      <c r="AZ65" t="s">
        <v>22</v>
      </c>
      <c r="BA65" t="s">
        <v>23</v>
      </c>
      <c r="BB65" t="s">
        <v>24</v>
      </c>
      <c r="BC65" t="s">
        <v>25</v>
      </c>
      <c r="BD65" t="s">
        <v>26</v>
      </c>
      <c r="BE65" t="s">
        <v>28</v>
      </c>
      <c r="BF65" t="s">
        <v>29</v>
      </c>
      <c r="BG65" t="s">
        <v>30</v>
      </c>
      <c r="BH65" t="s">
        <v>31</v>
      </c>
      <c r="BI65" t="s">
        <v>32</v>
      </c>
      <c r="BJ65" t="s">
        <v>33</v>
      </c>
      <c r="BK65" t="s">
        <v>34</v>
      </c>
      <c r="BL65" t="s">
        <v>53</v>
      </c>
    </row>
    <row r="66" spans="1:64" x14ac:dyDescent="0.25">
      <c r="A66" s="4" t="str">
        <f>$A$5&amp;"_AI_VI"</f>
        <v>BXX_DEV1_SI1_AI_VI</v>
      </c>
      <c r="B66" s="4" t="str">
        <f>$A$5</f>
        <v>BXX_DEV1_SI1</v>
      </c>
      <c r="C66" s="4" t="str">
        <f>$C$5 &amp; " Number of Visible Eng Values"</f>
        <v>BXX Pump 4 Speed Number of Visible Eng Values</v>
      </c>
      <c r="D66" s="2">
        <f t="shared" si="8"/>
        <v>45</v>
      </c>
      <c r="E66" t="s">
        <v>14</v>
      </c>
      <c r="F66" t="s">
        <v>13</v>
      </c>
      <c r="G66" s="5">
        <v>700</v>
      </c>
      <c r="H66" t="s">
        <v>13</v>
      </c>
      <c r="I66" t="s">
        <v>14</v>
      </c>
      <c r="J66">
        <v>0</v>
      </c>
      <c r="K66">
        <v>0</v>
      </c>
      <c r="M66" s="4">
        <f>N66</f>
        <v>1</v>
      </c>
      <c r="N66">
        <v>1</v>
      </c>
      <c r="O66">
        <v>3</v>
      </c>
      <c r="P66">
        <v>0</v>
      </c>
      <c r="Q66">
        <v>0</v>
      </c>
      <c r="R66" t="s">
        <v>54</v>
      </c>
      <c r="S66">
        <v>0</v>
      </c>
      <c r="T66">
        <v>1</v>
      </c>
      <c r="U66" t="s">
        <v>54</v>
      </c>
      <c r="V66">
        <v>0</v>
      </c>
      <c r="W66">
        <v>1</v>
      </c>
      <c r="X66" t="s">
        <v>54</v>
      </c>
      <c r="Y66">
        <v>0</v>
      </c>
      <c r="Z66">
        <v>1</v>
      </c>
      <c r="AA66" t="s">
        <v>54</v>
      </c>
      <c r="AB66">
        <v>0</v>
      </c>
      <c r="AC66">
        <v>1</v>
      </c>
      <c r="AD66" t="s">
        <v>54</v>
      </c>
      <c r="AE66">
        <v>0</v>
      </c>
      <c r="AF66">
        <v>1</v>
      </c>
      <c r="AG66" t="s">
        <v>54</v>
      </c>
      <c r="AH66">
        <v>0</v>
      </c>
      <c r="AI66">
        <v>1</v>
      </c>
      <c r="AJ66">
        <v>0</v>
      </c>
      <c r="AK66" t="s">
        <v>54</v>
      </c>
      <c r="AL66">
        <v>0</v>
      </c>
      <c r="AM66">
        <v>1</v>
      </c>
      <c r="AN66" t="s">
        <v>107</v>
      </c>
      <c r="AO66" s="4">
        <f>N66</f>
        <v>1</v>
      </c>
      <c r="AP66" s="4">
        <f>O66</f>
        <v>3</v>
      </c>
      <c r="AQ66" t="s">
        <v>108</v>
      </c>
      <c r="AR66" s="4" t="str">
        <f>$O$8</f>
        <v>BXX</v>
      </c>
      <c r="AS66" t="s">
        <v>14</v>
      </c>
      <c r="AT66" s="4" t="str">
        <f>$A$5&amp;".AI_VI"</f>
        <v>BXX_DEV1_SI1.AI_VI</v>
      </c>
      <c r="AU66" t="s">
        <v>14</v>
      </c>
      <c r="AV66" s="4" t="str">
        <f t="shared" ref="AV66:AV67" si="9">C66</f>
        <v>BXX Pump 4 Speed Number of Visible Eng Values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</row>
    <row r="67" spans="1:64" x14ac:dyDescent="0.25">
      <c r="A67" s="4" t="str">
        <f>$A$5&amp;"_AI_DC"</f>
        <v>BXX_DEV1_SI1_AI_DC</v>
      </c>
      <c r="B67" s="4" t="str">
        <f t="shared" ref="B67" si="10">$A$5</f>
        <v>BXX_DEV1_SI1</v>
      </c>
      <c r="C67" s="4" t="str">
        <f>$C$5 &amp; " Precision"</f>
        <v>BXX Pump 4 Speed Precision</v>
      </c>
      <c r="D67" s="2">
        <f t="shared" si="8"/>
        <v>26</v>
      </c>
      <c r="E67" t="s">
        <v>14</v>
      </c>
      <c r="F67" t="s">
        <v>13</v>
      </c>
      <c r="G67" s="5">
        <v>700</v>
      </c>
      <c r="H67" t="s">
        <v>13</v>
      </c>
      <c r="I67" t="s">
        <v>14</v>
      </c>
      <c r="J67">
        <v>0</v>
      </c>
      <c r="K67">
        <v>0</v>
      </c>
      <c r="M67" s="4">
        <f t="shared" ref="M67" si="11">N67</f>
        <v>0</v>
      </c>
      <c r="N67">
        <v>0</v>
      </c>
      <c r="O67">
        <v>3</v>
      </c>
      <c r="P67">
        <v>0</v>
      </c>
      <c r="Q67">
        <v>0</v>
      </c>
      <c r="R67" t="s">
        <v>54</v>
      </c>
      <c r="S67">
        <v>0</v>
      </c>
      <c r="T67">
        <v>1</v>
      </c>
      <c r="U67" t="s">
        <v>54</v>
      </c>
      <c r="V67">
        <v>0</v>
      </c>
      <c r="W67">
        <v>1</v>
      </c>
      <c r="X67" t="s">
        <v>54</v>
      </c>
      <c r="Y67">
        <v>0</v>
      </c>
      <c r="Z67">
        <v>1</v>
      </c>
      <c r="AA67" t="s">
        <v>54</v>
      </c>
      <c r="AB67">
        <v>0</v>
      </c>
      <c r="AC67">
        <v>1</v>
      </c>
      <c r="AD67" t="s">
        <v>54</v>
      </c>
      <c r="AE67">
        <v>0</v>
      </c>
      <c r="AF67">
        <v>1</v>
      </c>
      <c r="AG67" t="s">
        <v>54</v>
      </c>
      <c r="AH67">
        <v>0</v>
      </c>
      <c r="AI67">
        <v>1</v>
      </c>
      <c r="AJ67">
        <v>0</v>
      </c>
      <c r="AK67" t="s">
        <v>54</v>
      </c>
      <c r="AL67">
        <v>0</v>
      </c>
      <c r="AM67">
        <v>1</v>
      </c>
      <c r="AN67" t="s">
        <v>107</v>
      </c>
      <c r="AO67" s="4">
        <f t="shared" ref="AO67:AP67" si="12">N67</f>
        <v>0</v>
      </c>
      <c r="AP67" s="4">
        <f t="shared" si="12"/>
        <v>3</v>
      </c>
      <c r="AQ67" t="s">
        <v>108</v>
      </c>
      <c r="AR67" s="4" t="str">
        <f t="shared" ref="AR67" si="13">$O$8</f>
        <v>BXX</v>
      </c>
      <c r="AS67" t="s">
        <v>14</v>
      </c>
      <c r="AT67" s="4" t="str">
        <f>$A$5&amp;".AI_DC"</f>
        <v>BXX_DEV1_SI1.AI_DC</v>
      </c>
      <c r="AU67" t="s">
        <v>14</v>
      </c>
      <c r="AV67" s="4" t="str">
        <f t="shared" si="9"/>
        <v>BXX Pump 4 Speed Precision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</row>
    <row r="68" spans="1:64" x14ac:dyDescent="0.25">
      <c r="A68" s="5" t="s">
        <v>70</v>
      </c>
      <c r="B68" t="s">
        <v>16</v>
      </c>
      <c r="C68" t="s">
        <v>17</v>
      </c>
      <c r="D68" s="2">
        <f t="shared" si="8"/>
        <v>7</v>
      </c>
      <c r="E68" t="s">
        <v>39</v>
      </c>
      <c r="F68" t="s">
        <v>18</v>
      </c>
      <c r="G68" t="s">
        <v>19</v>
      </c>
      <c r="H68" t="s">
        <v>40</v>
      </c>
      <c r="I68" t="s">
        <v>71</v>
      </c>
      <c r="J68" t="s">
        <v>72</v>
      </c>
      <c r="K68" t="s">
        <v>73</v>
      </c>
      <c r="L68" t="s">
        <v>74</v>
      </c>
      <c r="M68" t="s">
        <v>75</v>
      </c>
      <c r="N68" t="s">
        <v>76</v>
      </c>
      <c r="O68" t="s">
        <v>77</v>
      </c>
      <c r="P68" t="s">
        <v>78</v>
      </c>
      <c r="Q68" t="s">
        <v>79</v>
      </c>
      <c r="R68" t="s">
        <v>80</v>
      </c>
      <c r="S68" t="s">
        <v>81</v>
      </c>
      <c r="T68" t="s">
        <v>82</v>
      </c>
      <c r="U68" t="s">
        <v>83</v>
      </c>
      <c r="V68" t="s">
        <v>84</v>
      </c>
      <c r="W68" t="s">
        <v>85</v>
      </c>
      <c r="X68" t="s">
        <v>86</v>
      </c>
      <c r="Y68" t="s">
        <v>87</v>
      </c>
      <c r="Z68" t="s">
        <v>88</v>
      </c>
      <c r="AA68" t="s">
        <v>89</v>
      </c>
      <c r="AB68" t="s">
        <v>90</v>
      </c>
      <c r="AC68" t="s">
        <v>91</v>
      </c>
      <c r="AD68" t="s">
        <v>92</v>
      </c>
      <c r="AE68" t="s">
        <v>93</v>
      </c>
      <c r="AF68" t="s">
        <v>94</v>
      </c>
      <c r="AG68" t="s">
        <v>95</v>
      </c>
      <c r="AH68" t="s">
        <v>96</v>
      </c>
      <c r="AI68" t="s">
        <v>97</v>
      </c>
      <c r="AJ68" t="s">
        <v>98</v>
      </c>
      <c r="AK68" t="s">
        <v>99</v>
      </c>
      <c r="AL68" t="s">
        <v>100</v>
      </c>
      <c r="AM68" t="s">
        <v>101</v>
      </c>
      <c r="AN68" t="s">
        <v>102</v>
      </c>
      <c r="AO68" t="s">
        <v>103</v>
      </c>
      <c r="AP68" t="s">
        <v>104</v>
      </c>
      <c r="AQ68" t="s">
        <v>105</v>
      </c>
      <c r="AR68" t="s">
        <v>47</v>
      </c>
      <c r="AS68" t="s">
        <v>48</v>
      </c>
      <c r="AT68" t="s">
        <v>49</v>
      </c>
      <c r="AU68" t="s">
        <v>50</v>
      </c>
      <c r="AV68" t="s">
        <v>51</v>
      </c>
      <c r="AW68" t="s">
        <v>52</v>
      </c>
      <c r="AX68" t="s">
        <v>20</v>
      </c>
      <c r="AY68" t="s">
        <v>21</v>
      </c>
      <c r="AZ68" t="s">
        <v>22</v>
      </c>
      <c r="BA68" t="s">
        <v>23</v>
      </c>
      <c r="BB68" t="s">
        <v>24</v>
      </c>
      <c r="BC68" t="s">
        <v>25</v>
      </c>
      <c r="BD68" t="s">
        <v>26</v>
      </c>
      <c r="BE68" t="s">
        <v>28</v>
      </c>
      <c r="BF68" t="s">
        <v>29</v>
      </c>
      <c r="BG68" t="s">
        <v>30</v>
      </c>
      <c r="BH68" t="s">
        <v>31</v>
      </c>
      <c r="BI68" t="s">
        <v>32</v>
      </c>
      <c r="BJ68" t="s">
        <v>33</v>
      </c>
      <c r="BK68" t="s">
        <v>34</v>
      </c>
      <c r="BL68" t="s">
        <v>53</v>
      </c>
    </row>
    <row r="69" spans="1:64" x14ac:dyDescent="0.25">
      <c r="A69" s="4" t="str">
        <f>$A$3&amp;"_AI_RT"</f>
        <v>BXX_SLP4_VF1_AI_RT</v>
      </c>
      <c r="B69" s="4" t="str">
        <f>$A$3</f>
        <v>BXX_SLP4_VF1</v>
      </c>
      <c r="C69" s="4" t="str">
        <f>$C$3&amp;" Runtime (Hours)"</f>
        <v>BXX Pump 4 Runtime (Hours)</v>
      </c>
      <c r="D69" s="2">
        <f t="shared" si="8"/>
        <v>26</v>
      </c>
      <c r="E69" t="s">
        <v>13</v>
      </c>
      <c r="F69" t="s">
        <v>14</v>
      </c>
      <c r="G69">
        <v>0</v>
      </c>
      <c r="H69" t="s">
        <v>13</v>
      </c>
      <c r="I69" t="s">
        <v>14</v>
      </c>
      <c r="J69">
        <v>0</v>
      </c>
      <c r="K69">
        <v>0</v>
      </c>
      <c r="L69" t="s">
        <v>193</v>
      </c>
      <c r="M69">
        <v>0</v>
      </c>
      <c r="N69">
        <v>0</v>
      </c>
      <c r="O69">
        <v>1000000</v>
      </c>
      <c r="P69">
        <v>0</v>
      </c>
      <c r="Q69">
        <v>1</v>
      </c>
      <c r="R69" t="s">
        <v>54</v>
      </c>
      <c r="S69">
        <v>0</v>
      </c>
      <c r="T69">
        <v>1</v>
      </c>
      <c r="U69" t="s">
        <v>54</v>
      </c>
      <c r="V69">
        <v>0</v>
      </c>
      <c r="W69">
        <v>1</v>
      </c>
      <c r="X69" t="s">
        <v>54</v>
      </c>
      <c r="Y69">
        <v>0</v>
      </c>
      <c r="Z69">
        <v>1</v>
      </c>
      <c r="AA69" t="s">
        <v>54</v>
      </c>
      <c r="AB69">
        <v>0</v>
      </c>
      <c r="AC69">
        <v>1</v>
      </c>
      <c r="AD69" t="s">
        <v>54</v>
      </c>
      <c r="AE69">
        <v>0</v>
      </c>
      <c r="AF69">
        <v>1</v>
      </c>
      <c r="AG69" t="s">
        <v>54</v>
      </c>
      <c r="AH69">
        <v>0</v>
      </c>
      <c r="AI69">
        <v>1</v>
      </c>
      <c r="AJ69">
        <v>0</v>
      </c>
      <c r="AK69" t="s">
        <v>54</v>
      </c>
      <c r="AL69">
        <v>0</v>
      </c>
      <c r="AM69">
        <v>1</v>
      </c>
      <c r="AN69" t="s">
        <v>107</v>
      </c>
      <c r="AO69">
        <v>0</v>
      </c>
      <c r="AP69">
        <v>1000000</v>
      </c>
      <c r="AQ69" t="s">
        <v>108</v>
      </c>
      <c r="AR69" s="4" t="str">
        <f>$O$8</f>
        <v>BXX</v>
      </c>
      <c r="AS69" t="s">
        <v>14</v>
      </c>
      <c r="AT69" s="4" t="str">
        <f>$A$3&amp;".AI_RT"</f>
        <v>BXX_SLP4_VF1.AI_RT</v>
      </c>
      <c r="AU69" t="s">
        <v>14</v>
      </c>
      <c r="AV69" s="4" t="str">
        <f t="shared" ref="AV69:AV77" si="14">C69</f>
        <v>BXX Pump 4 Runtime (Hours)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</row>
    <row r="70" spans="1:64" x14ac:dyDescent="0.25">
      <c r="A70" s="4" t="str">
        <f>$A$3&amp;"SI_CT"</f>
        <v>BXX_SLP4_VF1SI_CT</v>
      </c>
      <c r="B70" s="4" t="str">
        <f>$A$3</f>
        <v>BXX_SLP4_VF1</v>
      </c>
      <c r="C70" s="4" t="str">
        <f>$C$3&amp;" Manual Speed Setpoint"</f>
        <v>BXX Pump 4 Manual Speed Setpoint</v>
      </c>
      <c r="D70" s="2">
        <f t="shared" si="8"/>
        <v>32</v>
      </c>
      <c r="E70" t="s">
        <v>14</v>
      </c>
      <c r="F70" t="s">
        <v>13</v>
      </c>
      <c r="G70" s="5">
        <v>900</v>
      </c>
      <c r="H70" t="s">
        <v>13</v>
      </c>
      <c r="I70" t="s">
        <v>14</v>
      </c>
      <c r="J70">
        <v>0</v>
      </c>
      <c r="K70">
        <v>0</v>
      </c>
      <c r="L70" s="5" t="s">
        <v>122</v>
      </c>
      <c r="M70" s="4">
        <f>N70</f>
        <v>0</v>
      </c>
      <c r="N70" s="5">
        <v>0</v>
      </c>
      <c r="O70" s="5">
        <v>100</v>
      </c>
      <c r="P70">
        <v>0</v>
      </c>
      <c r="Q70">
        <v>0</v>
      </c>
      <c r="R70" t="s">
        <v>54</v>
      </c>
      <c r="S70">
        <v>0</v>
      </c>
      <c r="T70">
        <v>1</v>
      </c>
      <c r="U70" t="s">
        <v>54</v>
      </c>
      <c r="V70">
        <v>0</v>
      </c>
      <c r="W70">
        <v>1</v>
      </c>
      <c r="X70" t="s">
        <v>54</v>
      </c>
      <c r="Y70">
        <v>0</v>
      </c>
      <c r="Z70">
        <v>1</v>
      </c>
      <c r="AA70" t="s">
        <v>54</v>
      </c>
      <c r="AB70">
        <v>0</v>
      </c>
      <c r="AC70">
        <v>1</v>
      </c>
      <c r="AD70" t="s">
        <v>54</v>
      </c>
      <c r="AE70">
        <v>0</v>
      </c>
      <c r="AF70">
        <v>1</v>
      </c>
      <c r="AG70" t="s">
        <v>54</v>
      </c>
      <c r="AH70">
        <v>0</v>
      </c>
      <c r="AI70">
        <v>1</v>
      </c>
      <c r="AJ70">
        <v>0</v>
      </c>
      <c r="AK70" t="s">
        <v>54</v>
      </c>
      <c r="AL70">
        <v>0</v>
      </c>
      <c r="AM70">
        <v>1</v>
      </c>
      <c r="AN70" t="s">
        <v>107</v>
      </c>
      <c r="AO70" s="4">
        <f t="shared" ref="AO70:AP77" si="15">N70</f>
        <v>0</v>
      </c>
      <c r="AP70" s="4">
        <f t="shared" si="15"/>
        <v>100</v>
      </c>
      <c r="AQ70" t="s">
        <v>108</v>
      </c>
      <c r="AR70" s="4" t="str">
        <f>$O$8</f>
        <v>BXX</v>
      </c>
      <c r="AS70" t="s">
        <v>14</v>
      </c>
      <c r="AT70" s="4" t="str">
        <f>$A$3&amp;".SI_CT"</f>
        <v>BXX_SLP4_VF1.SI_CT</v>
      </c>
      <c r="AU70" t="s">
        <v>14</v>
      </c>
      <c r="AV70" s="4" t="str">
        <f t="shared" si="14"/>
        <v>BXX Pump 4 Manual Speed Setpoint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</row>
    <row r="71" spans="1:64" x14ac:dyDescent="0.25">
      <c r="A71" s="4" t="str">
        <f>$A$3&amp;"_AO_CV"</f>
        <v>BXX_SLP4_VF1_AO_CV</v>
      </c>
      <c r="B71" s="4" t="str">
        <f>$A$3</f>
        <v>BXX_SLP4_VF1</v>
      </c>
      <c r="C71" s="4" t="str">
        <f>$C$3&amp;" Speed Command"</f>
        <v>BXX Pump 4 Speed Command</v>
      </c>
      <c r="D71" s="2">
        <f t="shared" si="8"/>
        <v>24</v>
      </c>
      <c r="E71" t="s">
        <v>13</v>
      </c>
      <c r="F71" t="s">
        <v>14</v>
      </c>
      <c r="G71" s="5">
        <v>0</v>
      </c>
      <c r="H71" t="s">
        <v>13</v>
      </c>
      <c r="I71" t="s">
        <v>14</v>
      </c>
      <c r="J71">
        <v>0</v>
      </c>
      <c r="K71">
        <v>0</v>
      </c>
      <c r="L71" s="4" t="str">
        <f>L70</f>
        <v>%</v>
      </c>
      <c r="M71" s="4">
        <f>N71</f>
        <v>0</v>
      </c>
      <c r="N71" s="4">
        <f>N70</f>
        <v>0</v>
      </c>
      <c r="O71" s="4">
        <f>O70</f>
        <v>100</v>
      </c>
      <c r="P71">
        <v>0</v>
      </c>
      <c r="Q71" s="4">
        <f>(O71-N71)*0.01</f>
        <v>1</v>
      </c>
      <c r="R71" t="s">
        <v>54</v>
      </c>
      <c r="S71">
        <v>0</v>
      </c>
      <c r="T71">
        <v>1</v>
      </c>
      <c r="U71" t="s">
        <v>54</v>
      </c>
      <c r="V71">
        <v>0</v>
      </c>
      <c r="W71">
        <v>1</v>
      </c>
      <c r="X71" t="s">
        <v>54</v>
      </c>
      <c r="Y71">
        <v>0</v>
      </c>
      <c r="Z71">
        <v>1</v>
      </c>
      <c r="AA71" t="s">
        <v>54</v>
      </c>
      <c r="AB71">
        <v>0</v>
      </c>
      <c r="AC71">
        <v>1</v>
      </c>
      <c r="AD71" t="s">
        <v>54</v>
      </c>
      <c r="AE71">
        <v>0</v>
      </c>
      <c r="AF71">
        <v>1</v>
      </c>
      <c r="AG71" t="s">
        <v>54</v>
      </c>
      <c r="AH71">
        <v>0</v>
      </c>
      <c r="AI71">
        <v>1</v>
      </c>
      <c r="AJ71">
        <v>0</v>
      </c>
      <c r="AK71" t="s">
        <v>54</v>
      </c>
      <c r="AL71">
        <v>0</v>
      </c>
      <c r="AM71">
        <v>1</v>
      </c>
      <c r="AN71" t="s">
        <v>107</v>
      </c>
      <c r="AO71" s="4">
        <f t="shared" si="15"/>
        <v>0</v>
      </c>
      <c r="AP71" s="4">
        <f t="shared" si="15"/>
        <v>100</v>
      </c>
      <c r="AQ71" t="s">
        <v>108</v>
      </c>
      <c r="AR71" s="4" t="str">
        <f>$O$8</f>
        <v>BXX</v>
      </c>
      <c r="AS71" t="s">
        <v>14</v>
      </c>
      <c r="AT71" s="4" t="str">
        <f>$A$3&amp;".AO_CT"</f>
        <v>BXX_SLP4_VF1.AO_CT</v>
      </c>
      <c r="AU71" t="s">
        <v>14</v>
      </c>
      <c r="AV71" s="4" t="str">
        <f t="shared" si="14"/>
        <v>BXX Pump 4 Speed Command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</row>
    <row r="72" spans="1:64" x14ac:dyDescent="0.25">
      <c r="A72" s="4" t="str">
        <f>$A$5&amp;"_AI_CV"</f>
        <v>BXX_DEV1_SI1_AI_CV</v>
      </c>
      <c r="B72" s="4" t="str">
        <f t="shared" ref="B72:B77" si="16">$A$5</f>
        <v>BXX_DEV1_SI1</v>
      </c>
      <c r="C72" s="4" t="str">
        <f>$C$5 &amp; " Current Value"</f>
        <v>BXX Pump 4 Speed Current Value</v>
      </c>
      <c r="D72" s="2">
        <f t="shared" si="8"/>
        <v>30</v>
      </c>
      <c r="E72" t="s">
        <v>13</v>
      </c>
      <c r="F72" t="s">
        <v>14</v>
      </c>
      <c r="G72">
        <v>0</v>
      </c>
      <c r="H72" t="s">
        <v>13</v>
      </c>
      <c r="I72" t="s">
        <v>14</v>
      </c>
      <c r="J72">
        <v>0</v>
      </c>
      <c r="K72">
        <v>0</v>
      </c>
      <c r="L72" s="5" t="s">
        <v>122</v>
      </c>
      <c r="M72" s="4">
        <f t="shared" ref="M72:M77" si="17">N72</f>
        <v>0</v>
      </c>
      <c r="N72" s="5">
        <v>0</v>
      </c>
      <c r="O72" s="5">
        <v>100</v>
      </c>
      <c r="P72">
        <v>0</v>
      </c>
      <c r="Q72" s="4">
        <f>(O72-N72)*0.01</f>
        <v>1</v>
      </c>
      <c r="R72" t="s">
        <v>54</v>
      </c>
      <c r="S72">
        <v>0</v>
      </c>
      <c r="T72">
        <v>1</v>
      </c>
      <c r="U72" t="s">
        <v>54</v>
      </c>
      <c r="V72">
        <v>0</v>
      </c>
      <c r="W72">
        <v>1</v>
      </c>
      <c r="X72" t="s">
        <v>54</v>
      </c>
      <c r="Y72">
        <v>0</v>
      </c>
      <c r="Z72">
        <v>1</v>
      </c>
      <c r="AA72" t="s">
        <v>54</v>
      </c>
      <c r="AB72">
        <v>0</v>
      </c>
      <c r="AC72">
        <v>1</v>
      </c>
      <c r="AD72" t="s">
        <v>54</v>
      </c>
      <c r="AE72">
        <v>0</v>
      </c>
      <c r="AF72">
        <v>1</v>
      </c>
      <c r="AG72" t="s">
        <v>54</v>
      </c>
      <c r="AH72">
        <v>0</v>
      </c>
      <c r="AI72">
        <v>1</v>
      </c>
      <c r="AJ72">
        <v>0</v>
      </c>
      <c r="AK72" t="s">
        <v>54</v>
      </c>
      <c r="AL72">
        <v>0</v>
      </c>
      <c r="AM72">
        <v>1</v>
      </c>
      <c r="AN72" t="s">
        <v>107</v>
      </c>
      <c r="AO72" s="4">
        <f t="shared" si="15"/>
        <v>0</v>
      </c>
      <c r="AP72" s="4">
        <f t="shared" si="15"/>
        <v>100</v>
      </c>
      <c r="AQ72" t="s">
        <v>108</v>
      </c>
      <c r="AR72" s="4" t="str">
        <f t="shared" ref="AR72:AR77" si="18">$O$8</f>
        <v>BXX</v>
      </c>
      <c r="AS72" t="s">
        <v>14</v>
      </c>
      <c r="AT72" s="4" t="str">
        <f>$A$5&amp;".AI_CV"</f>
        <v>BXX_DEV1_SI1.AI_CV</v>
      </c>
      <c r="AU72" t="s">
        <v>14</v>
      </c>
      <c r="AV72" s="4" t="str">
        <f t="shared" si="14"/>
        <v>BXX Pump 4 Speed Current Value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</row>
    <row r="73" spans="1:64" x14ac:dyDescent="0.25">
      <c r="A73" s="4" t="str">
        <f>$A$5&amp;"_AO_XM"</f>
        <v>BXX_DEV1_SI1_AO_XM</v>
      </c>
      <c r="B73" s="4" t="str">
        <f t="shared" si="16"/>
        <v>BXX_DEV1_SI1</v>
      </c>
      <c r="C73" s="4" t="str">
        <f>$C$5 &amp; " Span Setpoint"</f>
        <v>BXX Pump 4 Speed Span Setpoint</v>
      </c>
      <c r="D73" s="2">
        <f t="shared" si="8"/>
        <v>30</v>
      </c>
      <c r="E73" t="s">
        <v>14</v>
      </c>
      <c r="F73" t="s">
        <v>14</v>
      </c>
      <c r="G73">
        <v>0</v>
      </c>
      <c r="H73" t="s">
        <v>13</v>
      </c>
      <c r="I73" t="s">
        <v>14</v>
      </c>
      <c r="J73">
        <v>0</v>
      </c>
      <c r="K73">
        <v>0</v>
      </c>
      <c r="L73" s="4" t="str">
        <f t="shared" ref="L73:L75" si="19">$L$72</f>
        <v>%</v>
      </c>
      <c r="M73" s="4">
        <f t="shared" si="17"/>
        <v>0</v>
      </c>
      <c r="N73" s="4">
        <f t="shared" ref="N73:N77" si="20">$N$72</f>
        <v>0</v>
      </c>
      <c r="O73" s="4">
        <f t="shared" ref="O73:O77" si="21">$O$72</f>
        <v>100</v>
      </c>
      <c r="P73">
        <v>0</v>
      </c>
      <c r="Q73" s="5">
        <v>0</v>
      </c>
      <c r="R73" t="s">
        <v>54</v>
      </c>
      <c r="S73">
        <v>0</v>
      </c>
      <c r="T73">
        <v>1</v>
      </c>
      <c r="U73" t="s">
        <v>54</v>
      </c>
      <c r="V73">
        <v>0</v>
      </c>
      <c r="W73">
        <v>1</v>
      </c>
      <c r="X73" t="s">
        <v>54</v>
      </c>
      <c r="Y73">
        <v>0</v>
      </c>
      <c r="Z73">
        <v>1</v>
      </c>
      <c r="AA73" t="s">
        <v>54</v>
      </c>
      <c r="AB73">
        <v>0</v>
      </c>
      <c r="AC73">
        <v>1</v>
      </c>
      <c r="AD73" t="s">
        <v>54</v>
      </c>
      <c r="AE73">
        <v>0</v>
      </c>
      <c r="AF73">
        <v>1</v>
      </c>
      <c r="AG73" t="s">
        <v>54</v>
      </c>
      <c r="AH73">
        <v>0</v>
      </c>
      <c r="AI73">
        <v>1</v>
      </c>
      <c r="AJ73">
        <v>0</v>
      </c>
      <c r="AK73" t="s">
        <v>54</v>
      </c>
      <c r="AL73">
        <v>0</v>
      </c>
      <c r="AM73">
        <v>1</v>
      </c>
      <c r="AN73" t="s">
        <v>107</v>
      </c>
      <c r="AO73" s="4">
        <f t="shared" si="15"/>
        <v>0</v>
      </c>
      <c r="AP73" s="4">
        <f t="shared" si="15"/>
        <v>100</v>
      </c>
      <c r="AQ73" t="s">
        <v>108</v>
      </c>
      <c r="AR73" s="4" t="str">
        <f t="shared" si="18"/>
        <v>BXX</v>
      </c>
      <c r="AS73" t="s">
        <v>14</v>
      </c>
      <c r="AT73" s="4" t="str">
        <f>$A$5&amp;".AO_XM"</f>
        <v>BXX_DEV1_SI1.AO_XM</v>
      </c>
      <c r="AU73" t="s">
        <v>14</v>
      </c>
      <c r="AV73" s="4" t="str">
        <f t="shared" si="14"/>
        <v>BXX Pump 4 Speed Span Setpoint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</row>
    <row r="74" spans="1:64" x14ac:dyDescent="0.25">
      <c r="A74" s="4" t="str">
        <f>$A$5&amp;"_AO_EM"</f>
        <v>BXX_DEV1_SI1_AO_EM</v>
      </c>
      <c r="B74" s="4" t="str">
        <f t="shared" si="16"/>
        <v>BXX_DEV1_SI1</v>
      </c>
      <c r="C74" s="4" t="str">
        <f>$C$5 &amp; " Zero Setpoint"</f>
        <v>BXX Pump 4 Speed Zero Setpoint</v>
      </c>
      <c r="D74" s="2">
        <f t="shared" si="8"/>
        <v>30</v>
      </c>
      <c r="E74" t="s">
        <v>14</v>
      </c>
      <c r="F74" t="s">
        <v>14</v>
      </c>
      <c r="G74">
        <v>0</v>
      </c>
      <c r="H74" t="s">
        <v>13</v>
      </c>
      <c r="I74" t="s">
        <v>14</v>
      </c>
      <c r="J74">
        <v>0</v>
      </c>
      <c r="K74">
        <v>0</v>
      </c>
      <c r="L74" s="4" t="str">
        <f t="shared" si="19"/>
        <v>%</v>
      </c>
      <c r="M74" s="4">
        <f t="shared" si="17"/>
        <v>0</v>
      </c>
      <c r="N74" s="4">
        <f t="shared" si="20"/>
        <v>0</v>
      </c>
      <c r="O74" s="4">
        <f t="shared" si="21"/>
        <v>100</v>
      </c>
      <c r="P74">
        <v>0</v>
      </c>
      <c r="Q74" s="5">
        <v>0</v>
      </c>
      <c r="R74" t="s">
        <v>54</v>
      </c>
      <c r="S74">
        <v>0</v>
      </c>
      <c r="T74">
        <v>1</v>
      </c>
      <c r="U74" t="s">
        <v>54</v>
      </c>
      <c r="V74">
        <v>0</v>
      </c>
      <c r="W74">
        <v>1</v>
      </c>
      <c r="X74" t="s">
        <v>54</v>
      </c>
      <c r="Y74">
        <v>0</v>
      </c>
      <c r="Z74">
        <v>1</v>
      </c>
      <c r="AA74" t="s">
        <v>54</v>
      </c>
      <c r="AB74">
        <v>0</v>
      </c>
      <c r="AC74">
        <v>1</v>
      </c>
      <c r="AD74" t="s">
        <v>54</v>
      </c>
      <c r="AE74">
        <v>0</v>
      </c>
      <c r="AF74">
        <v>1</v>
      </c>
      <c r="AG74" t="s">
        <v>54</v>
      </c>
      <c r="AH74">
        <v>0</v>
      </c>
      <c r="AI74">
        <v>1</v>
      </c>
      <c r="AJ74">
        <v>0</v>
      </c>
      <c r="AK74" t="s">
        <v>54</v>
      </c>
      <c r="AL74">
        <v>0</v>
      </c>
      <c r="AM74">
        <v>1</v>
      </c>
      <c r="AN74" t="s">
        <v>107</v>
      </c>
      <c r="AO74" s="4">
        <f t="shared" si="15"/>
        <v>0</v>
      </c>
      <c r="AP74" s="4">
        <f t="shared" si="15"/>
        <v>100</v>
      </c>
      <c r="AQ74" t="s">
        <v>108</v>
      </c>
      <c r="AR74" s="4" t="str">
        <f t="shared" si="18"/>
        <v>BXX</v>
      </c>
      <c r="AS74" t="s">
        <v>14</v>
      </c>
      <c r="AT74" s="4" t="str">
        <f>$A$5&amp;".AO_EM"</f>
        <v>BXX_DEV1_SI1.AO_EM</v>
      </c>
      <c r="AU74" t="s">
        <v>14</v>
      </c>
      <c r="AV74" s="4" t="str">
        <f t="shared" si="14"/>
        <v>BXX Pump 4 Speed Zero Setpoint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</row>
    <row r="75" spans="1:64" x14ac:dyDescent="0.25">
      <c r="A75" s="4" t="str">
        <f>$A$5&amp;"_AO_SV"</f>
        <v>BXX_DEV1_SI1_AO_SV</v>
      </c>
      <c r="B75" s="4" t="str">
        <f t="shared" si="16"/>
        <v>BXX_DEV1_SI1</v>
      </c>
      <c r="C75" s="4" t="str">
        <f>$C$5 &amp; " Override Value"</f>
        <v>BXX Pump 4 Speed Override Value</v>
      </c>
      <c r="D75" s="2">
        <f t="shared" si="8"/>
        <v>31</v>
      </c>
      <c r="E75" t="s">
        <v>14</v>
      </c>
      <c r="F75" t="s">
        <v>13</v>
      </c>
      <c r="G75" s="5">
        <v>900</v>
      </c>
      <c r="H75" t="s">
        <v>13</v>
      </c>
      <c r="I75" t="s">
        <v>14</v>
      </c>
      <c r="J75">
        <v>0</v>
      </c>
      <c r="K75">
        <v>0</v>
      </c>
      <c r="L75" s="4" t="str">
        <f t="shared" si="19"/>
        <v>%</v>
      </c>
      <c r="M75" s="4">
        <f t="shared" si="17"/>
        <v>0</v>
      </c>
      <c r="N75" s="4">
        <f t="shared" si="20"/>
        <v>0</v>
      </c>
      <c r="O75" s="4">
        <f t="shared" si="21"/>
        <v>100</v>
      </c>
      <c r="P75">
        <v>0</v>
      </c>
      <c r="Q75">
        <v>0</v>
      </c>
      <c r="R75" t="s">
        <v>54</v>
      </c>
      <c r="S75">
        <v>0</v>
      </c>
      <c r="T75">
        <v>1</v>
      </c>
      <c r="U75" t="s">
        <v>54</v>
      </c>
      <c r="V75">
        <v>0</v>
      </c>
      <c r="W75">
        <v>1</v>
      </c>
      <c r="X75" t="s">
        <v>54</v>
      </c>
      <c r="Y75">
        <v>0</v>
      </c>
      <c r="Z75">
        <v>1</v>
      </c>
      <c r="AA75" t="s">
        <v>54</v>
      </c>
      <c r="AB75">
        <v>0</v>
      </c>
      <c r="AC75">
        <v>1</v>
      </c>
      <c r="AD75" t="s">
        <v>54</v>
      </c>
      <c r="AE75">
        <v>0</v>
      </c>
      <c r="AF75">
        <v>1</v>
      </c>
      <c r="AG75" t="s">
        <v>54</v>
      </c>
      <c r="AH75">
        <v>0</v>
      </c>
      <c r="AI75">
        <v>1</v>
      </c>
      <c r="AJ75">
        <v>0</v>
      </c>
      <c r="AK75" t="s">
        <v>54</v>
      </c>
      <c r="AL75">
        <v>0</v>
      </c>
      <c r="AM75">
        <v>1</v>
      </c>
      <c r="AN75" t="s">
        <v>107</v>
      </c>
      <c r="AO75" s="4">
        <f t="shared" si="15"/>
        <v>0</v>
      </c>
      <c r="AP75" s="4">
        <f t="shared" si="15"/>
        <v>100</v>
      </c>
      <c r="AQ75" t="s">
        <v>108</v>
      </c>
      <c r="AR75" s="4" t="str">
        <f t="shared" si="18"/>
        <v>BXX</v>
      </c>
      <c r="AS75" t="s">
        <v>14</v>
      </c>
      <c r="AT75" s="4" t="str">
        <f>$A$5&amp;".AO_SV"</f>
        <v>BXX_DEV1_SI1.AO_SV</v>
      </c>
      <c r="AU75" t="s">
        <v>14</v>
      </c>
      <c r="AV75" s="4" t="str">
        <f t="shared" si="14"/>
        <v>BXX Pump 4 Speed Override Value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</row>
    <row r="76" spans="1:64" x14ac:dyDescent="0.25">
      <c r="A76" s="4" t="str">
        <f>$A$5&amp;"SN_ZA"</f>
        <v>BXX_DEV1_SI1SN_ZA</v>
      </c>
      <c r="B76" s="4" t="str">
        <f t="shared" si="16"/>
        <v>BXX_DEV1_SI1</v>
      </c>
      <c r="C76" s="4" t="str">
        <f>$C$5 &amp; " Deviation Alarm Delay"</f>
        <v>BXX Pump 4 Speed Deviation Alarm Delay</v>
      </c>
      <c r="D76" s="2">
        <f t="shared" si="8"/>
        <v>38</v>
      </c>
      <c r="E76" t="s">
        <v>14</v>
      </c>
      <c r="F76" t="s">
        <v>13</v>
      </c>
      <c r="G76" s="5">
        <v>900</v>
      </c>
      <c r="H76" t="s">
        <v>13</v>
      </c>
      <c r="I76" t="s">
        <v>14</v>
      </c>
      <c r="J76">
        <v>0</v>
      </c>
      <c r="K76">
        <v>0</v>
      </c>
      <c r="L76" t="s">
        <v>109</v>
      </c>
      <c r="M76" s="4">
        <f t="shared" si="17"/>
        <v>0</v>
      </c>
      <c r="N76">
        <v>0</v>
      </c>
      <c r="O76">
        <v>999</v>
      </c>
      <c r="P76">
        <v>0</v>
      </c>
      <c r="Q76">
        <v>0</v>
      </c>
      <c r="R76" t="s">
        <v>54</v>
      </c>
      <c r="S76">
        <v>0</v>
      </c>
      <c r="T76">
        <v>1</v>
      </c>
      <c r="U76" t="s">
        <v>54</v>
      </c>
      <c r="V76">
        <v>0</v>
      </c>
      <c r="W76">
        <v>1</v>
      </c>
      <c r="X76" t="s">
        <v>54</v>
      </c>
      <c r="Y76">
        <v>0</v>
      </c>
      <c r="Z76">
        <v>1</v>
      </c>
      <c r="AA76" t="s">
        <v>54</v>
      </c>
      <c r="AB76">
        <v>0</v>
      </c>
      <c r="AC76">
        <v>1</v>
      </c>
      <c r="AD76" t="s">
        <v>54</v>
      </c>
      <c r="AE76">
        <v>0</v>
      </c>
      <c r="AF76">
        <v>1</v>
      </c>
      <c r="AG76" t="s">
        <v>54</v>
      </c>
      <c r="AH76">
        <v>0</v>
      </c>
      <c r="AI76">
        <v>1</v>
      </c>
      <c r="AJ76">
        <v>0</v>
      </c>
      <c r="AK76" t="s">
        <v>54</v>
      </c>
      <c r="AL76">
        <v>0</v>
      </c>
      <c r="AM76">
        <v>1</v>
      </c>
      <c r="AN76" t="s">
        <v>107</v>
      </c>
      <c r="AO76" s="4">
        <f t="shared" si="15"/>
        <v>0</v>
      </c>
      <c r="AP76" s="4">
        <f t="shared" si="15"/>
        <v>999</v>
      </c>
      <c r="AQ76" t="s">
        <v>108</v>
      </c>
      <c r="AR76" s="4" t="str">
        <f t="shared" si="18"/>
        <v>BXX</v>
      </c>
      <c r="AS76" t="s">
        <v>14</v>
      </c>
      <c r="AT76" s="4" t="str">
        <f>$A$5&amp;".SN_LO"</f>
        <v>BXX_DEV1_SI1.SN_LO</v>
      </c>
      <c r="AU76" t="s">
        <v>14</v>
      </c>
      <c r="AV76" s="4" t="str">
        <f t="shared" si="14"/>
        <v>BXX Pump 4 Speed Deviation Alarm Delay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</row>
    <row r="77" spans="1:64" x14ac:dyDescent="0.25">
      <c r="A77" s="4" t="str">
        <f>$A$5&amp;"_AO_ZA"</f>
        <v>BXX_DEV1_SI1_AO_ZA</v>
      </c>
      <c r="B77" s="4" t="str">
        <f t="shared" si="16"/>
        <v>BXX_DEV1_SI1</v>
      </c>
      <c r="C77" s="4" t="str">
        <f>$C$5 &amp; " Deviation Setpoint"</f>
        <v>BXX Pump 4 Speed Deviation Setpoint</v>
      </c>
      <c r="D77" s="2">
        <f t="shared" si="8"/>
        <v>35</v>
      </c>
      <c r="E77" t="s">
        <v>14</v>
      </c>
      <c r="F77" t="s">
        <v>13</v>
      </c>
      <c r="G77" s="5">
        <v>900</v>
      </c>
      <c r="H77" t="s">
        <v>13</v>
      </c>
      <c r="I77" t="s">
        <v>14</v>
      </c>
      <c r="J77">
        <v>0</v>
      </c>
      <c r="K77">
        <v>0</v>
      </c>
      <c r="L77" s="4" t="str">
        <f t="shared" ref="L77" si="22">$L$35</f>
        <v>None</v>
      </c>
      <c r="M77" s="4">
        <f t="shared" si="17"/>
        <v>0</v>
      </c>
      <c r="N77" s="4">
        <f t="shared" si="20"/>
        <v>0</v>
      </c>
      <c r="O77" s="4">
        <f t="shared" si="21"/>
        <v>100</v>
      </c>
      <c r="P77">
        <v>0</v>
      </c>
      <c r="Q77">
        <v>0</v>
      </c>
      <c r="R77" t="s">
        <v>54</v>
      </c>
      <c r="S77">
        <v>0</v>
      </c>
      <c r="T77">
        <v>1</v>
      </c>
      <c r="U77" t="s">
        <v>54</v>
      </c>
      <c r="V77">
        <v>0</v>
      </c>
      <c r="W77">
        <v>1</v>
      </c>
      <c r="X77" t="s">
        <v>54</v>
      </c>
      <c r="Y77">
        <v>0</v>
      </c>
      <c r="Z77">
        <v>1</v>
      </c>
      <c r="AA77" t="s">
        <v>54</v>
      </c>
      <c r="AB77">
        <v>0</v>
      </c>
      <c r="AC77">
        <v>1</v>
      </c>
      <c r="AD77" t="s">
        <v>54</v>
      </c>
      <c r="AE77">
        <v>0</v>
      </c>
      <c r="AF77">
        <v>1</v>
      </c>
      <c r="AG77" t="s">
        <v>54</v>
      </c>
      <c r="AH77">
        <v>0</v>
      </c>
      <c r="AI77">
        <v>1</v>
      </c>
      <c r="AJ77">
        <v>0</v>
      </c>
      <c r="AK77" t="s">
        <v>54</v>
      </c>
      <c r="AL77">
        <v>0</v>
      </c>
      <c r="AM77">
        <v>1</v>
      </c>
      <c r="AN77" t="s">
        <v>107</v>
      </c>
      <c r="AO77" s="4">
        <f t="shared" si="15"/>
        <v>0</v>
      </c>
      <c r="AP77" s="4">
        <f t="shared" si="15"/>
        <v>100</v>
      </c>
      <c r="AQ77" t="s">
        <v>108</v>
      </c>
      <c r="AR77" s="4" t="str">
        <f t="shared" si="18"/>
        <v>BXX</v>
      </c>
      <c r="AS77" t="s">
        <v>14</v>
      </c>
      <c r="AT77" s="4" t="str">
        <f>$A$5&amp;".AO_LL"</f>
        <v>BXX_DEV1_SI1.AO_LL</v>
      </c>
      <c r="AU77" t="s">
        <v>14</v>
      </c>
      <c r="AV77" s="4" t="str">
        <f t="shared" si="14"/>
        <v>BXX Pump 4 Speed Deviation Setpoint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</row>
    <row r="78" spans="1:64" x14ac:dyDescent="0.25">
      <c r="A78" s="5" t="s">
        <v>123</v>
      </c>
      <c r="B78" t="s">
        <v>16</v>
      </c>
      <c r="C78" t="s">
        <v>17</v>
      </c>
      <c r="D78" s="2">
        <f t="shared" si="8"/>
        <v>7</v>
      </c>
      <c r="E78" t="s">
        <v>39</v>
      </c>
      <c r="F78" t="s">
        <v>18</v>
      </c>
      <c r="G78" t="s">
        <v>19</v>
      </c>
      <c r="H78" t="s">
        <v>40</v>
      </c>
      <c r="I78" t="s">
        <v>124</v>
      </c>
      <c r="J78" t="s">
        <v>125</v>
      </c>
      <c r="K78" t="s">
        <v>51</v>
      </c>
      <c r="L78" t="s">
        <v>53</v>
      </c>
    </row>
    <row r="79" spans="1:64" x14ac:dyDescent="0.25">
      <c r="A79" s="4" t="str">
        <f>$A$3&amp;"_DI_NM"</f>
        <v>BXX_SLP4_VF1_DI_NM</v>
      </c>
      <c r="B79" s="4" t="str">
        <f>$A$3</f>
        <v>BXX_SLP4_VF1</v>
      </c>
      <c r="C79" s="4" t="str">
        <f>$A$3</f>
        <v>BXX_SLP4_VF1</v>
      </c>
      <c r="D79" s="2">
        <f t="shared" si="8"/>
        <v>12</v>
      </c>
      <c r="E79" t="s">
        <v>14</v>
      </c>
      <c r="F79" t="s">
        <v>14</v>
      </c>
      <c r="G79">
        <v>0</v>
      </c>
      <c r="H79" t="s">
        <v>13</v>
      </c>
      <c r="I79">
        <v>24</v>
      </c>
      <c r="J79" s="4" t="str">
        <f>$A$3</f>
        <v>BXX_SLP4_VF1</v>
      </c>
      <c r="K79" s="4" t="str">
        <f>$A$3</f>
        <v>BXX_SLP4_VF1</v>
      </c>
    </row>
    <row r="80" spans="1:64" x14ac:dyDescent="0.25">
      <c r="A80" s="4" t="str">
        <f>$A$5&amp;"_DI_NM"</f>
        <v>BXX_DEV1_SI1_DI_NM</v>
      </c>
      <c r="B80" s="4" t="str">
        <f>$A$5</f>
        <v>BXX_DEV1_SI1</v>
      </c>
      <c r="C80" s="4" t="str">
        <f>$A$5</f>
        <v>BXX_DEV1_SI1</v>
      </c>
      <c r="D80" s="2">
        <f t="shared" si="8"/>
        <v>12</v>
      </c>
      <c r="E80" t="s">
        <v>14</v>
      </c>
      <c r="F80" t="s">
        <v>14</v>
      </c>
      <c r="G80">
        <v>0</v>
      </c>
      <c r="H80" t="s">
        <v>13</v>
      </c>
      <c r="I80">
        <v>24</v>
      </c>
      <c r="J80" s="4" t="str">
        <f>C80</f>
        <v>BXX_DEV1_SI1</v>
      </c>
      <c r="K80" s="4" t="str">
        <f>C80</f>
        <v>BXX_DEV1_SI1</v>
      </c>
    </row>
    <row r="81" spans="1:16" x14ac:dyDescent="0.25">
      <c r="A81" t="s">
        <v>592</v>
      </c>
      <c r="B81" t="s">
        <v>127</v>
      </c>
      <c r="C81" t="s">
        <v>194</v>
      </c>
      <c r="E81" t="s">
        <v>14</v>
      </c>
      <c r="F81" t="s">
        <v>14</v>
      </c>
      <c r="G81">
        <v>0</v>
      </c>
      <c r="H81" t="s">
        <v>13</v>
      </c>
      <c r="I81">
        <v>131</v>
      </c>
    </row>
    <row r="82" spans="1:16" x14ac:dyDescent="0.25">
      <c r="A82" t="s">
        <v>593</v>
      </c>
      <c r="B82" t="s">
        <v>127</v>
      </c>
      <c r="C82" t="s">
        <v>195</v>
      </c>
      <c r="E82" t="s">
        <v>14</v>
      </c>
      <c r="F82" t="s">
        <v>14</v>
      </c>
      <c r="G82">
        <v>0</v>
      </c>
      <c r="H82" t="s">
        <v>13</v>
      </c>
      <c r="I82">
        <v>131</v>
      </c>
    </row>
    <row r="83" spans="1:16" x14ac:dyDescent="0.25">
      <c r="A83" t="s">
        <v>594</v>
      </c>
      <c r="B83" t="s">
        <v>127</v>
      </c>
      <c r="C83" t="s">
        <v>196</v>
      </c>
      <c r="E83" t="s">
        <v>14</v>
      </c>
      <c r="F83" t="s">
        <v>14</v>
      </c>
      <c r="G83">
        <v>0</v>
      </c>
      <c r="H83" t="s">
        <v>13</v>
      </c>
      <c r="I83">
        <v>131</v>
      </c>
    </row>
    <row r="84" spans="1:16" x14ac:dyDescent="0.25">
      <c r="A84" t="s">
        <v>197</v>
      </c>
      <c r="B84" t="s">
        <v>127</v>
      </c>
      <c r="C84" t="s">
        <v>198</v>
      </c>
      <c r="E84" t="s">
        <v>14</v>
      </c>
      <c r="F84" t="s">
        <v>14</v>
      </c>
      <c r="G84">
        <v>0</v>
      </c>
      <c r="H84" t="s">
        <v>13</v>
      </c>
      <c r="I84">
        <v>64</v>
      </c>
      <c r="K84" t="s">
        <v>198</v>
      </c>
    </row>
    <row r="85" spans="1:16" x14ac:dyDescent="0.25">
      <c r="A85" t="s">
        <v>130</v>
      </c>
      <c r="B85" t="s">
        <v>16</v>
      </c>
      <c r="C85" t="s">
        <v>17</v>
      </c>
      <c r="E85" t="s">
        <v>39</v>
      </c>
      <c r="F85" t="s">
        <v>18</v>
      </c>
      <c r="G85" t="s">
        <v>19</v>
      </c>
      <c r="H85" t="s">
        <v>40</v>
      </c>
      <c r="I85" t="s">
        <v>124</v>
      </c>
      <c r="J85" t="s">
        <v>125</v>
      </c>
      <c r="K85" t="s">
        <v>47</v>
      </c>
      <c r="L85" t="s">
        <v>48</v>
      </c>
      <c r="M85" t="s">
        <v>49</v>
      </c>
      <c r="N85" t="s">
        <v>50</v>
      </c>
      <c r="O85" t="s">
        <v>51</v>
      </c>
      <c r="P85" t="s">
        <v>53</v>
      </c>
    </row>
    <row r="86" spans="1:16" x14ac:dyDescent="0.25">
      <c r="A86" s="4" t="str">
        <f>$A$3&amp;"_PB_AE_RN"</f>
        <v>BXX_SLP4_VF1_PB_AE_RN</v>
      </c>
      <c r="B86" s="4" t="str">
        <f t="shared" ref="B86:B91" si="23">$A$3</f>
        <v>BXX_SLP4_VF1</v>
      </c>
      <c r="C86" s="4" t="str">
        <f>$C$3 &amp; " Alarms Disabled Reason"</f>
        <v>BXX Pump 4 Alarms Disabled Reason</v>
      </c>
      <c r="D86" s="2">
        <f t="shared" ref="D86:D149" si="24">LEN(C86)</f>
        <v>33</v>
      </c>
      <c r="E86" t="s">
        <v>14</v>
      </c>
      <c r="F86" t="s">
        <v>14</v>
      </c>
      <c r="G86">
        <v>0</v>
      </c>
      <c r="H86" t="s">
        <v>13</v>
      </c>
      <c r="I86">
        <v>131</v>
      </c>
      <c r="J86" t="s">
        <v>131</v>
      </c>
      <c r="K86" s="4" t="s">
        <v>630</v>
      </c>
      <c r="L86" t="s">
        <v>13</v>
      </c>
      <c r="M86" s="4" t="str">
        <f t="shared" ref="M86:M91" si="25">A86</f>
        <v>BXX_SLP4_VF1_PB_AE_RN</v>
      </c>
      <c r="N86" t="s">
        <v>14</v>
      </c>
      <c r="O86" s="4" t="str">
        <f t="shared" ref="O86:O91" si="26">C86</f>
        <v>BXX Pump 4 Alarms Disabled Reason</v>
      </c>
    </row>
    <row r="87" spans="1:16" x14ac:dyDescent="0.25">
      <c r="A87" s="4" t="str">
        <f>$A$3&amp;"_PB_ES_SR"</f>
        <v>BXX_SLP4_VF1_PB_ES_SR</v>
      </c>
      <c r="B87" s="4" t="str">
        <f t="shared" si="23"/>
        <v>BXX_SLP4_VF1</v>
      </c>
      <c r="C87" s="4" t="str">
        <f>$C$3&amp;" E-Stop Disabled Reason"</f>
        <v>BXX Pump 4 E-Stop Disabled Reason</v>
      </c>
      <c r="D87" s="2">
        <f t="shared" si="24"/>
        <v>33</v>
      </c>
      <c r="E87" t="s">
        <v>14</v>
      </c>
      <c r="F87" t="s">
        <v>14</v>
      </c>
      <c r="G87">
        <v>0</v>
      </c>
      <c r="H87" t="s">
        <v>13</v>
      </c>
      <c r="I87">
        <v>131</v>
      </c>
      <c r="J87" t="s">
        <v>131</v>
      </c>
      <c r="K87" s="4" t="s">
        <v>630</v>
      </c>
      <c r="L87" t="s">
        <v>13</v>
      </c>
      <c r="M87" s="4" t="str">
        <f t="shared" si="25"/>
        <v>BXX_SLP4_VF1_PB_ES_SR</v>
      </c>
      <c r="N87" t="s">
        <v>14</v>
      </c>
      <c r="O87" s="4" t="str">
        <f t="shared" si="26"/>
        <v>BXX Pump 4 E-Stop Disabled Reason</v>
      </c>
    </row>
    <row r="88" spans="1:16" x14ac:dyDescent="0.25">
      <c r="A88" s="4" t="str">
        <f>$A$3&amp;"_PB_RA_SR"</f>
        <v>BXX_SLP4_VF1_PB_RA_SR</v>
      </c>
      <c r="B88" s="4" t="str">
        <f t="shared" si="23"/>
        <v>BXX_SLP4_VF1</v>
      </c>
      <c r="C88" s="4" t="str">
        <f>$C$3&amp;" Overload Disabled Reason"</f>
        <v>BXX Pump 4 Overload Disabled Reason</v>
      </c>
      <c r="D88" s="2">
        <f t="shared" si="24"/>
        <v>35</v>
      </c>
      <c r="E88" t="s">
        <v>14</v>
      </c>
      <c r="F88" t="s">
        <v>14</v>
      </c>
      <c r="G88">
        <v>0</v>
      </c>
      <c r="H88" t="s">
        <v>13</v>
      </c>
      <c r="I88">
        <v>131</v>
      </c>
      <c r="J88" t="s">
        <v>131</v>
      </c>
      <c r="K88" s="4" t="s">
        <v>630</v>
      </c>
      <c r="L88" t="s">
        <v>13</v>
      </c>
      <c r="M88" s="4" t="str">
        <f t="shared" si="25"/>
        <v>BXX_SLP4_VF1_PB_RA_SR</v>
      </c>
      <c r="N88" t="s">
        <v>14</v>
      </c>
      <c r="O88" s="4" t="str">
        <f t="shared" si="26"/>
        <v>BXX Pump 4 Overload Disabled Reason</v>
      </c>
    </row>
    <row r="89" spans="1:16" x14ac:dyDescent="0.25">
      <c r="A89" s="4" t="str">
        <f>$A$3&amp;"_PB_DF_SR"</f>
        <v>BXX_SLP4_VF1_PB_DF_SR</v>
      </c>
      <c r="B89" s="4" t="str">
        <f t="shared" si="23"/>
        <v>BXX_SLP4_VF1</v>
      </c>
      <c r="C89" s="4" t="str">
        <f>$C$3&amp;" Not Ready Disabled Reason"</f>
        <v>BXX Pump 4 Not Ready Disabled Reason</v>
      </c>
      <c r="D89" s="2">
        <f t="shared" si="24"/>
        <v>36</v>
      </c>
      <c r="E89" t="s">
        <v>14</v>
      </c>
      <c r="F89" t="s">
        <v>14</v>
      </c>
      <c r="G89">
        <v>0</v>
      </c>
      <c r="H89" t="s">
        <v>13</v>
      </c>
      <c r="I89">
        <v>131</v>
      </c>
      <c r="J89" t="s">
        <v>131</v>
      </c>
      <c r="K89" s="4" t="s">
        <v>630</v>
      </c>
      <c r="L89" t="s">
        <v>13</v>
      </c>
      <c r="M89" s="4" t="str">
        <f t="shared" si="25"/>
        <v>BXX_SLP4_VF1_PB_DF_SR</v>
      </c>
      <c r="N89" t="s">
        <v>14</v>
      </c>
      <c r="O89" s="4" t="str">
        <f t="shared" si="26"/>
        <v>BXX Pump 4 Not Ready Disabled Reason</v>
      </c>
    </row>
    <row r="90" spans="1:16" x14ac:dyDescent="0.25">
      <c r="A90" s="4" t="str">
        <f>$A$3&amp;"_PB_GA_SR"</f>
        <v>BXX_SLP4_VF1_PB_GA_SR</v>
      </c>
      <c r="B90" s="4" t="str">
        <f t="shared" si="23"/>
        <v>BXX_SLP4_VF1</v>
      </c>
      <c r="C90" s="4" t="str">
        <f>$C$3&amp;" VFD Fault Disabled Reason"</f>
        <v>BXX Pump 4 VFD Fault Disabled Reason</v>
      </c>
      <c r="D90" s="2">
        <f t="shared" si="24"/>
        <v>36</v>
      </c>
      <c r="E90" t="s">
        <v>14</v>
      </c>
      <c r="F90" t="s">
        <v>14</v>
      </c>
      <c r="G90">
        <v>0</v>
      </c>
      <c r="H90" t="s">
        <v>13</v>
      </c>
      <c r="I90">
        <v>131</v>
      </c>
      <c r="J90" t="s">
        <v>131</v>
      </c>
      <c r="K90" s="4" t="s">
        <v>630</v>
      </c>
      <c r="L90" t="s">
        <v>13</v>
      </c>
      <c r="M90" s="4" t="str">
        <f t="shared" si="25"/>
        <v>BXX_SLP4_VF1_PB_GA_SR</v>
      </c>
      <c r="N90" t="s">
        <v>14</v>
      </c>
      <c r="O90" s="4" t="str">
        <f t="shared" si="26"/>
        <v>BXX Pump 4 VFD Fault Disabled Reason</v>
      </c>
    </row>
    <row r="91" spans="1:16" x14ac:dyDescent="0.25">
      <c r="A91" s="4" t="str">
        <f>$A$3&amp;"_PB_TA_SR"</f>
        <v>BXX_SLP4_VF1_PB_TA_SR</v>
      </c>
      <c r="B91" s="4" t="str">
        <f t="shared" si="23"/>
        <v>BXX_SLP4_VF1</v>
      </c>
      <c r="C91" s="4" t="str">
        <f>$C$3&amp;" Temp/Leak Disabled Reason"</f>
        <v>BXX Pump 4 Temp/Leak Disabled Reason</v>
      </c>
      <c r="D91" s="2">
        <f t="shared" si="24"/>
        <v>36</v>
      </c>
      <c r="E91" t="s">
        <v>14</v>
      </c>
      <c r="F91" t="s">
        <v>14</v>
      </c>
      <c r="G91">
        <v>0</v>
      </c>
      <c r="H91" t="s">
        <v>13</v>
      </c>
      <c r="I91">
        <v>131</v>
      </c>
      <c r="J91" t="s">
        <v>131</v>
      </c>
      <c r="K91" s="4" t="s">
        <v>630</v>
      </c>
      <c r="L91" t="s">
        <v>13</v>
      </c>
      <c r="M91" s="4" t="str">
        <f t="shared" si="25"/>
        <v>BXX_SLP4_VF1_PB_TA_SR</v>
      </c>
      <c r="N91" t="s">
        <v>14</v>
      </c>
      <c r="O91" s="4" t="str">
        <f t="shared" si="26"/>
        <v>BXX Pump 4 Temp/Leak Disabled Reason</v>
      </c>
    </row>
    <row r="92" spans="1:16" x14ac:dyDescent="0.25">
      <c r="A92" t="s">
        <v>560</v>
      </c>
      <c r="B92" t="s">
        <v>16</v>
      </c>
      <c r="C92" t="s">
        <v>17</v>
      </c>
      <c r="D92" s="2">
        <f t="shared" si="24"/>
        <v>7</v>
      </c>
      <c r="E92" t="s">
        <v>18</v>
      </c>
      <c r="F92" t="s">
        <v>19</v>
      </c>
      <c r="G92" t="s">
        <v>40</v>
      </c>
      <c r="H92" t="s">
        <v>53</v>
      </c>
    </row>
    <row r="93" spans="1:16" x14ac:dyDescent="0.25">
      <c r="A93" s="5" t="s">
        <v>437</v>
      </c>
      <c r="B93" t="s">
        <v>127</v>
      </c>
      <c r="C93" t="s">
        <v>199</v>
      </c>
      <c r="D93" s="2">
        <f t="shared" si="24"/>
        <v>34</v>
      </c>
      <c r="E93" t="s">
        <v>14</v>
      </c>
      <c r="F93">
        <v>0</v>
      </c>
      <c r="G93" t="s">
        <v>14</v>
      </c>
    </row>
    <row r="94" spans="1:16" x14ac:dyDescent="0.25">
      <c r="A94" s="5" t="s">
        <v>562</v>
      </c>
      <c r="B94" t="s">
        <v>127</v>
      </c>
      <c r="C94" t="s">
        <v>200</v>
      </c>
      <c r="D94" s="2">
        <f t="shared" si="24"/>
        <v>38</v>
      </c>
      <c r="E94" t="s">
        <v>14</v>
      </c>
      <c r="F94">
        <v>0</v>
      </c>
      <c r="G94" t="s">
        <v>14</v>
      </c>
    </row>
    <row r="95" spans="1:16" x14ac:dyDescent="0.25">
      <c r="A95" s="5" t="s">
        <v>563</v>
      </c>
      <c r="B95" t="s">
        <v>127</v>
      </c>
      <c r="C95" t="s">
        <v>201</v>
      </c>
      <c r="D95" s="2">
        <f t="shared" si="24"/>
        <v>40</v>
      </c>
      <c r="E95" t="s">
        <v>14</v>
      </c>
      <c r="F95">
        <v>0</v>
      </c>
      <c r="G95" t="s">
        <v>14</v>
      </c>
    </row>
    <row r="96" spans="1:16" x14ac:dyDescent="0.25">
      <c r="A96" s="5" t="s">
        <v>564</v>
      </c>
      <c r="B96" t="s">
        <v>127</v>
      </c>
      <c r="C96" t="s">
        <v>202</v>
      </c>
      <c r="D96" s="2">
        <f t="shared" si="24"/>
        <v>28</v>
      </c>
      <c r="E96" t="s">
        <v>14</v>
      </c>
      <c r="F96">
        <v>0</v>
      </c>
      <c r="G96" t="s">
        <v>14</v>
      </c>
    </row>
    <row r="97" spans="1:7" x14ac:dyDescent="0.25">
      <c r="A97" s="5" t="s">
        <v>565</v>
      </c>
      <c r="B97" t="s">
        <v>127</v>
      </c>
      <c r="C97" t="s">
        <v>203</v>
      </c>
      <c r="D97" s="2">
        <f t="shared" si="24"/>
        <v>42</v>
      </c>
      <c r="E97" t="s">
        <v>14</v>
      </c>
      <c r="F97">
        <v>0</v>
      </c>
      <c r="G97" t="s">
        <v>14</v>
      </c>
    </row>
    <row r="98" spans="1:7" x14ac:dyDescent="0.25">
      <c r="A98" s="5" t="s">
        <v>566</v>
      </c>
      <c r="B98" t="s">
        <v>127</v>
      </c>
      <c r="C98" t="s">
        <v>204</v>
      </c>
      <c r="D98" s="2">
        <f t="shared" si="24"/>
        <v>40</v>
      </c>
      <c r="E98" t="s">
        <v>14</v>
      </c>
      <c r="F98">
        <v>0</v>
      </c>
      <c r="G98" t="s">
        <v>14</v>
      </c>
    </row>
    <row r="99" spans="1:7" x14ac:dyDescent="0.25">
      <c r="A99" s="5" t="s">
        <v>567</v>
      </c>
      <c r="B99" t="s">
        <v>127</v>
      </c>
      <c r="C99" t="s">
        <v>205</v>
      </c>
      <c r="D99" s="2">
        <f t="shared" si="24"/>
        <v>35</v>
      </c>
      <c r="E99" t="s">
        <v>14</v>
      </c>
      <c r="F99">
        <v>0</v>
      </c>
      <c r="G99" t="s">
        <v>14</v>
      </c>
    </row>
    <row r="100" spans="1:7" x14ac:dyDescent="0.25">
      <c r="A100" s="5" t="s">
        <v>568</v>
      </c>
      <c r="B100" t="s">
        <v>127</v>
      </c>
      <c r="C100" t="s">
        <v>206</v>
      </c>
      <c r="D100" s="2">
        <f t="shared" si="24"/>
        <v>30</v>
      </c>
      <c r="E100" t="s">
        <v>14</v>
      </c>
      <c r="F100">
        <v>0</v>
      </c>
      <c r="G100" t="s">
        <v>14</v>
      </c>
    </row>
    <row r="101" spans="1:7" x14ac:dyDescent="0.25">
      <c r="A101" s="5" t="s">
        <v>569</v>
      </c>
      <c r="B101" t="s">
        <v>127</v>
      </c>
      <c r="C101" t="s">
        <v>207</v>
      </c>
      <c r="D101" s="2">
        <f t="shared" si="24"/>
        <v>31</v>
      </c>
      <c r="E101" t="s">
        <v>14</v>
      </c>
      <c r="F101">
        <v>0</v>
      </c>
      <c r="G101" t="s">
        <v>14</v>
      </c>
    </row>
    <row r="102" spans="1:7" x14ac:dyDescent="0.25">
      <c r="A102" s="5" t="s">
        <v>570</v>
      </c>
      <c r="B102" t="s">
        <v>127</v>
      </c>
      <c r="C102" t="s">
        <v>208</v>
      </c>
      <c r="D102" s="2">
        <f t="shared" si="24"/>
        <v>40</v>
      </c>
      <c r="E102" t="s">
        <v>14</v>
      </c>
      <c r="F102">
        <v>0</v>
      </c>
      <c r="G102" t="s">
        <v>14</v>
      </c>
    </row>
    <row r="103" spans="1:7" x14ac:dyDescent="0.25">
      <c r="A103" s="5" t="s">
        <v>571</v>
      </c>
      <c r="B103" t="s">
        <v>127</v>
      </c>
      <c r="C103" t="s">
        <v>209</v>
      </c>
      <c r="D103" s="2">
        <f t="shared" si="24"/>
        <v>38</v>
      </c>
      <c r="E103" t="s">
        <v>14</v>
      </c>
      <c r="F103">
        <v>0</v>
      </c>
      <c r="G103" t="s">
        <v>14</v>
      </c>
    </row>
    <row r="104" spans="1:7" x14ac:dyDescent="0.25">
      <c r="A104" s="5" t="s">
        <v>572</v>
      </c>
      <c r="B104" t="s">
        <v>127</v>
      </c>
      <c r="C104" t="s">
        <v>210</v>
      </c>
      <c r="D104" s="2">
        <f t="shared" si="24"/>
        <v>38</v>
      </c>
      <c r="E104" t="s">
        <v>14</v>
      </c>
      <c r="F104">
        <v>0</v>
      </c>
      <c r="G104" t="s">
        <v>14</v>
      </c>
    </row>
    <row r="105" spans="1:7" x14ac:dyDescent="0.25">
      <c r="A105" s="5" t="s">
        <v>573</v>
      </c>
      <c r="B105" t="s">
        <v>127</v>
      </c>
      <c r="C105" t="s">
        <v>211</v>
      </c>
      <c r="D105" s="2">
        <f t="shared" si="24"/>
        <v>39</v>
      </c>
      <c r="E105" t="s">
        <v>14</v>
      </c>
      <c r="F105">
        <v>0</v>
      </c>
      <c r="G105" t="s">
        <v>14</v>
      </c>
    </row>
    <row r="106" spans="1:7" x14ac:dyDescent="0.25">
      <c r="A106" s="5" t="s">
        <v>574</v>
      </c>
      <c r="B106" t="s">
        <v>127</v>
      </c>
      <c r="C106" t="s">
        <v>212</v>
      </c>
      <c r="D106" s="2">
        <f t="shared" si="24"/>
        <v>29</v>
      </c>
      <c r="E106" t="s">
        <v>14</v>
      </c>
      <c r="F106">
        <v>0</v>
      </c>
      <c r="G106" t="s">
        <v>14</v>
      </c>
    </row>
    <row r="107" spans="1:7" x14ac:dyDescent="0.25">
      <c r="A107" s="5" t="s">
        <v>470</v>
      </c>
      <c r="B107" t="s">
        <v>127</v>
      </c>
      <c r="C107" t="s">
        <v>213</v>
      </c>
      <c r="D107" s="2">
        <f t="shared" si="24"/>
        <v>41</v>
      </c>
      <c r="E107" t="s">
        <v>14</v>
      </c>
      <c r="F107">
        <v>0</v>
      </c>
      <c r="G107" t="s">
        <v>14</v>
      </c>
    </row>
    <row r="108" spans="1:7" x14ac:dyDescent="0.25">
      <c r="A108" s="5" t="s">
        <v>471</v>
      </c>
      <c r="B108" t="s">
        <v>127</v>
      </c>
      <c r="C108" t="s">
        <v>214</v>
      </c>
      <c r="D108" s="2">
        <f t="shared" si="24"/>
        <v>43</v>
      </c>
      <c r="E108" t="s">
        <v>14</v>
      </c>
      <c r="F108">
        <v>0</v>
      </c>
      <c r="G108" t="s">
        <v>14</v>
      </c>
    </row>
    <row r="109" spans="1:7" x14ac:dyDescent="0.25">
      <c r="A109" s="5" t="s">
        <v>472</v>
      </c>
      <c r="B109" t="s">
        <v>127</v>
      </c>
      <c r="C109" t="s">
        <v>215</v>
      </c>
      <c r="D109" s="2">
        <f t="shared" si="24"/>
        <v>44</v>
      </c>
      <c r="E109" t="s">
        <v>14</v>
      </c>
      <c r="F109">
        <v>0</v>
      </c>
      <c r="G109" t="s">
        <v>14</v>
      </c>
    </row>
    <row r="110" spans="1:7" x14ac:dyDescent="0.25">
      <c r="A110" s="5" t="s">
        <v>473</v>
      </c>
      <c r="B110" t="s">
        <v>127</v>
      </c>
      <c r="C110" t="s">
        <v>216</v>
      </c>
      <c r="D110" s="2">
        <f t="shared" si="24"/>
        <v>34</v>
      </c>
      <c r="E110" t="s">
        <v>14</v>
      </c>
      <c r="F110">
        <v>0</v>
      </c>
      <c r="G110" t="s">
        <v>14</v>
      </c>
    </row>
    <row r="111" spans="1:7" x14ac:dyDescent="0.25">
      <c r="A111" s="5" t="s">
        <v>474</v>
      </c>
      <c r="B111" t="s">
        <v>127</v>
      </c>
      <c r="C111" t="s">
        <v>217</v>
      </c>
      <c r="D111" s="2">
        <f t="shared" si="24"/>
        <v>44</v>
      </c>
      <c r="E111" t="s">
        <v>14</v>
      </c>
      <c r="F111">
        <v>0</v>
      </c>
      <c r="G111" t="s">
        <v>14</v>
      </c>
    </row>
    <row r="112" spans="1:7" x14ac:dyDescent="0.25">
      <c r="A112" s="5" t="s">
        <v>475</v>
      </c>
      <c r="B112" t="s">
        <v>127</v>
      </c>
      <c r="C112" t="s">
        <v>218</v>
      </c>
      <c r="D112" s="2">
        <f t="shared" si="24"/>
        <v>33</v>
      </c>
      <c r="E112" t="s">
        <v>14</v>
      </c>
      <c r="F112">
        <v>0</v>
      </c>
      <c r="G112" t="s">
        <v>14</v>
      </c>
    </row>
    <row r="113" spans="1:8" x14ac:dyDescent="0.25">
      <c r="A113" s="5" t="s">
        <v>476</v>
      </c>
      <c r="B113" t="s">
        <v>127</v>
      </c>
      <c r="C113" t="s">
        <v>219</v>
      </c>
      <c r="D113" s="2">
        <f t="shared" si="24"/>
        <v>35</v>
      </c>
      <c r="E113" t="s">
        <v>14</v>
      </c>
      <c r="F113">
        <v>0</v>
      </c>
      <c r="G113" t="s">
        <v>14</v>
      </c>
    </row>
    <row r="114" spans="1:8" x14ac:dyDescent="0.25">
      <c r="A114" s="5" t="s">
        <v>477</v>
      </c>
      <c r="B114" t="s">
        <v>127</v>
      </c>
      <c r="C114" t="s">
        <v>220</v>
      </c>
      <c r="D114" s="2">
        <f t="shared" si="24"/>
        <v>38</v>
      </c>
      <c r="E114" t="s">
        <v>14</v>
      </c>
      <c r="F114">
        <v>0</v>
      </c>
      <c r="G114" t="s">
        <v>14</v>
      </c>
    </row>
    <row r="115" spans="1:8" x14ac:dyDescent="0.25">
      <c r="A115" s="5" t="s">
        <v>478</v>
      </c>
      <c r="B115" t="s">
        <v>127</v>
      </c>
      <c r="C115" t="s">
        <v>221</v>
      </c>
      <c r="D115" s="2">
        <f t="shared" si="24"/>
        <v>37</v>
      </c>
      <c r="E115" t="s">
        <v>14</v>
      </c>
      <c r="F115">
        <v>0</v>
      </c>
      <c r="G115" t="s">
        <v>14</v>
      </c>
    </row>
    <row r="116" spans="1:8" x14ac:dyDescent="0.25">
      <c r="A116" s="5" t="s">
        <v>479</v>
      </c>
      <c r="B116" t="s">
        <v>127</v>
      </c>
      <c r="C116" t="s">
        <v>222</v>
      </c>
      <c r="D116" s="2">
        <f t="shared" si="24"/>
        <v>40</v>
      </c>
      <c r="E116" t="s">
        <v>14</v>
      </c>
      <c r="F116">
        <v>0</v>
      </c>
      <c r="G116" t="s">
        <v>14</v>
      </c>
    </row>
    <row r="117" spans="1:8" x14ac:dyDescent="0.25">
      <c r="A117" s="5" t="s">
        <v>576</v>
      </c>
      <c r="B117" t="s">
        <v>127</v>
      </c>
      <c r="C117" t="s">
        <v>223</v>
      </c>
      <c r="D117" s="2">
        <f t="shared" si="24"/>
        <v>41</v>
      </c>
      <c r="E117" t="s">
        <v>14</v>
      </c>
      <c r="F117">
        <v>0</v>
      </c>
      <c r="G117" t="s">
        <v>14</v>
      </c>
    </row>
    <row r="118" spans="1:8" x14ac:dyDescent="0.25">
      <c r="A118" s="5" t="s">
        <v>577</v>
      </c>
      <c r="B118" t="s">
        <v>127</v>
      </c>
      <c r="C118" t="s">
        <v>224</v>
      </c>
      <c r="D118" s="2">
        <f t="shared" si="24"/>
        <v>36</v>
      </c>
      <c r="E118" t="s">
        <v>14</v>
      </c>
      <c r="F118">
        <v>0</v>
      </c>
      <c r="G118" t="s">
        <v>14</v>
      </c>
    </row>
    <row r="119" spans="1:8" x14ac:dyDescent="0.25">
      <c r="A119" s="5" t="s">
        <v>578</v>
      </c>
      <c r="B119" t="s">
        <v>127</v>
      </c>
      <c r="C119" t="s">
        <v>225</v>
      </c>
      <c r="D119" s="2">
        <f t="shared" si="24"/>
        <v>48</v>
      </c>
      <c r="E119" t="s">
        <v>14</v>
      </c>
      <c r="F119">
        <v>0</v>
      </c>
      <c r="G119" t="s">
        <v>14</v>
      </c>
    </row>
    <row r="120" spans="1:8" x14ac:dyDescent="0.25">
      <c r="A120" s="5" t="s">
        <v>579</v>
      </c>
      <c r="B120" t="s">
        <v>127</v>
      </c>
      <c r="C120" t="s">
        <v>226</v>
      </c>
      <c r="D120" s="2">
        <f t="shared" si="24"/>
        <v>40</v>
      </c>
      <c r="E120" t="s">
        <v>14</v>
      </c>
      <c r="F120">
        <v>0</v>
      </c>
      <c r="G120" t="s">
        <v>14</v>
      </c>
    </row>
    <row r="121" spans="1:8" x14ac:dyDescent="0.25">
      <c r="A121" s="5" t="s">
        <v>580</v>
      </c>
      <c r="B121" t="s">
        <v>127</v>
      </c>
      <c r="C121" t="s">
        <v>227</v>
      </c>
      <c r="D121" s="2">
        <f t="shared" si="24"/>
        <v>43</v>
      </c>
      <c r="E121" t="s">
        <v>14</v>
      </c>
      <c r="F121">
        <v>0</v>
      </c>
      <c r="G121" t="s">
        <v>14</v>
      </c>
    </row>
    <row r="122" spans="1:8" x14ac:dyDescent="0.25">
      <c r="A122" s="5" t="s">
        <v>581</v>
      </c>
      <c r="B122" t="s">
        <v>127</v>
      </c>
      <c r="C122" t="s">
        <v>228</v>
      </c>
      <c r="D122" s="2">
        <f t="shared" si="24"/>
        <v>47</v>
      </c>
      <c r="E122" t="s">
        <v>14</v>
      </c>
      <c r="F122">
        <v>0</v>
      </c>
      <c r="G122" t="s">
        <v>14</v>
      </c>
    </row>
    <row r="123" spans="1:8" x14ac:dyDescent="0.25">
      <c r="A123" t="s">
        <v>561</v>
      </c>
      <c r="B123" t="s">
        <v>16</v>
      </c>
      <c r="C123" t="s">
        <v>17</v>
      </c>
      <c r="D123" s="2">
        <f t="shared" si="24"/>
        <v>7</v>
      </c>
      <c r="E123" t="s">
        <v>18</v>
      </c>
      <c r="F123" t="s">
        <v>19</v>
      </c>
      <c r="G123" t="s">
        <v>40</v>
      </c>
      <c r="H123" t="s">
        <v>53</v>
      </c>
    </row>
    <row r="124" spans="1:8" x14ac:dyDescent="0.25">
      <c r="A124" s="5" t="s">
        <v>229</v>
      </c>
      <c r="B124" t="s">
        <v>127</v>
      </c>
      <c r="C124" t="s">
        <v>230</v>
      </c>
      <c r="D124" s="2">
        <f t="shared" si="24"/>
        <v>42</v>
      </c>
      <c r="E124" t="s">
        <v>14</v>
      </c>
      <c r="F124">
        <v>0</v>
      </c>
      <c r="G124" t="s">
        <v>14</v>
      </c>
    </row>
    <row r="125" spans="1:8" x14ac:dyDescent="0.25">
      <c r="A125" s="5" t="s">
        <v>231</v>
      </c>
      <c r="B125" t="s">
        <v>127</v>
      </c>
      <c r="C125" t="s">
        <v>232</v>
      </c>
      <c r="D125" s="2">
        <f t="shared" si="24"/>
        <v>42</v>
      </c>
      <c r="E125" t="s">
        <v>14</v>
      </c>
      <c r="F125">
        <v>0</v>
      </c>
      <c r="G125" t="s">
        <v>14</v>
      </c>
    </row>
    <row r="126" spans="1:8" x14ac:dyDescent="0.25">
      <c r="A126" s="5" t="s">
        <v>233</v>
      </c>
      <c r="B126" t="s">
        <v>127</v>
      </c>
      <c r="C126" t="s">
        <v>234</v>
      </c>
      <c r="D126" s="2">
        <f t="shared" si="24"/>
        <v>37</v>
      </c>
      <c r="E126" t="s">
        <v>14</v>
      </c>
      <c r="F126">
        <v>0</v>
      </c>
      <c r="G126" t="s">
        <v>14</v>
      </c>
    </row>
    <row r="127" spans="1:8" x14ac:dyDescent="0.25">
      <c r="A127" s="5" t="s">
        <v>504</v>
      </c>
      <c r="B127" t="s">
        <v>127</v>
      </c>
      <c r="C127" t="s">
        <v>235</v>
      </c>
      <c r="D127" s="2">
        <f t="shared" si="24"/>
        <v>33</v>
      </c>
      <c r="E127" t="s">
        <v>14</v>
      </c>
      <c r="F127">
        <v>0</v>
      </c>
      <c r="G127" t="s">
        <v>14</v>
      </c>
    </row>
    <row r="128" spans="1:8" x14ac:dyDescent="0.25">
      <c r="A128" s="5" t="s">
        <v>505</v>
      </c>
      <c r="B128" t="s">
        <v>127</v>
      </c>
      <c r="C128" t="s">
        <v>236</v>
      </c>
      <c r="D128" s="2">
        <f t="shared" si="24"/>
        <v>44</v>
      </c>
      <c r="E128" t="s">
        <v>14</v>
      </c>
      <c r="F128">
        <v>0</v>
      </c>
      <c r="G128" t="s">
        <v>14</v>
      </c>
    </row>
    <row r="129" spans="1:7" x14ac:dyDescent="0.25">
      <c r="A129" s="5" t="s">
        <v>491</v>
      </c>
      <c r="B129" t="s">
        <v>127</v>
      </c>
      <c r="C129" t="s">
        <v>237</v>
      </c>
      <c r="D129" s="2">
        <f t="shared" si="24"/>
        <v>41</v>
      </c>
      <c r="E129" t="s">
        <v>14</v>
      </c>
      <c r="F129">
        <v>0</v>
      </c>
      <c r="G129" t="s">
        <v>14</v>
      </c>
    </row>
    <row r="130" spans="1:7" x14ac:dyDescent="0.25">
      <c r="A130" s="5" t="s">
        <v>492</v>
      </c>
      <c r="B130" t="s">
        <v>127</v>
      </c>
      <c r="C130" t="s">
        <v>238</v>
      </c>
      <c r="D130" s="2">
        <f t="shared" si="24"/>
        <v>37</v>
      </c>
      <c r="E130" t="s">
        <v>14</v>
      </c>
      <c r="F130">
        <v>0</v>
      </c>
      <c r="G130" t="s">
        <v>14</v>
      </c>
    </row>
    <row r="131" spans="1:7" x14ac:dyDescent="0.25">
      <c r="A131" s="5" t="s">
        <v>575</v>
      </c>
      <c r="B131" t="s">
        <v>127</v>
      </c>
      <c r="C131" t="s">
        <v>239</v>
      </c>
      <c r="D131" s="2">
        <f t="shared" si="24"/>
        <v>23</v>
      </c>
      <c r="E131" t="s">
        <v>14</v>
      </c>
      <c r="F131">
        <v>0</v>
      </c>
      <c r="G131" t="s">
        <v>14</v>
      </c>
    </row>
    <row r="132" spans="1:7" x14ac:dyDescent="0.25">
      <c r="A132" s="5" t="s">
        <v>617</v>
      </c>
      <c r="B132" t="s">
        <v>127</v>
      </c>
      <c r="C132" t="s">
        <v>240</v>
      </c>
      <c r="D132" s="2">
        <f t="shared" si="24"/>
        <v>31</v>
      </c>
      <c r="E132" t="s">
        <v>14</v>
      </c>
      <c r="F132">
        <v>0</v>
      </c>
      <c r="G132" t="s">
        <v>14</v>
      </c>
    </row>
    <row r="133" spans="1:7" x14ac:dyDescent="0.25">
      <c r="A133" s="5" t="s">
        <v>618</v>
      </c>
      <c r="B133" t="s">
        <v>127</v>
      </c>
      <c r="C133" t="s">
        <v>241</v>
      </c>
      <c r="D133" s="2">
        <f t="shared" si="24"/>
        <v>31</v>
      </c>
      <c r="E133" t="s">
        <v>14</v>
      </c>
      <c r="F133">
        <v>0</v>
      </c>
      <c r="G133" t="s">
        <v>14</v>
      </c>
    </row>
    <row r="134" spans="1:7" x14ac:dyDescent="0.25">
      <c r="A134" s="5" t="s">
        <v>619</v>
      </c>
      <c r="B134" t="s">
        <v>127</v>
      </c>
      <c r="C134" t="s">
        <v>242</v>
      </c>
      <c r="D134" s="2">
        <f t="shared" si="24"/>
        <v>42</v>
      </c>
      <c r="E134" t="s">
        <v>14</v>
      </c>
      <c r="F134">
        <v>0</v>
      </c>
      <c r="G134" t="s">
        <v>14</v>
      </c>
    </row>
    <row r="135" spans="1:7" x14ac:dyDescent="0.25">
      <c r="A135" s="5" t="s">
        <v>620</v>
      </c>
      <c r="B135" t="s">
        <v>127</v>
      </c>
      <c r="C135" t="s">
        <v>243</v>
      </c>
      <c r="D135" s="2">
        <f t="shared" si="24"/>
        <v>45</v>
      </c>
      <c r="E135" t="s">
        <v>14</v>
      </c>
      <c r="F135">
        <v>0</v>
      </c>
      <c r="G135" t="s">
        <v>14</v>
      </c>
    </row>
    <row r="136" spans="1:7" x14ac:dyDescent="0.25">
      <c r="A136" s="5" t="s">
        <v>621</v>
      </c>
      <c r="B136" t="s">
        <v>127</v>
      </c>
      <c r="C136" t="s">
        <v>244</v>
      </c>
      <c r="D136" s="2">
        <f t="shared" si="24"/>
        <v>48</v>
      </c>
      <c r="E136" t="s">
        <v>14</v>
      </c>
      <c r="F136">
        <v>0</v>
      </c>
      <c r="G136" t="s">
        <v>14</v>
      </c>
    </row>
    <row r="137" spans="1:7" x14ac:dyDescent="0.25">
      <c r="A137" s="5" t="s">
        <v>582</v>
      </c>
      <c r="B137" t="s">
        <v>127</v>
      </c>
      <c r="C137" t="s">
        <v>245</v>
      </c>
      <c r="D137" s="2">
        <f t="shared" si="24"/>
        <v>49</v>
      </c>
      <c r="E137" t="s">
        <v>14</v>
      </c>
      <c r="F137">
        <v>0</v>
      </c>
      <c r="G137" t="s">
        <v>14</v>
      </c>
    </row>
    <row r="138" spans="1:7" x14ac:dyDescent="0.25">
      <c r="A138" s="5" t="s">
        <v>583</v>
      </c>
      <c r="B138" t="s">
        <v>127</v>
      </c>
      <c r="C138" t="s">
        <v>246</v>
      </c>
      <c r="D138" s="2">
        <f t="shared" si="24"/>
        <v>49</v>
      </c>
      <c r="E138" t="s">
        <v>14</v>
      </c>
      <c r="F138">
        <v>0</v>
      </c>
      <c r="G138" t="s">
        <v>14</v>
      </c>
    </row>
    <row r="139" spans="1:7" x14ac:dyDescent="0.25">
      <c r="A139" s="5" t="s">
        <v>584</v>
      </c>
      <c r="B139" t="s">
        <v>127</v>
      </c>
      <c r="C139" t="s">
        <v>234</v>
      </c>
      <c r="D139" s="2">
        <f t="shared" si="24"/>
        <v>37</v>
      </c>
      <c r="E139" t="s">
        <v>14</v>
      </c>
      <c r="F139">
        <v>0</v>
      </c>
      <c r="G139" t="s">
        <v>14</v>
      </c>
    </row>
    <row r="140" spans="1:7" x14ac:dyDescent="0.25">
      <c r="A140" s="5" t="s">
        <v>585</v>
      </c>
      <c r="B140" t="s">
        <v>127</v>
      </c>
      <c r="C140" t="s">
        <v>247</v>
      </c>
      <c r="D140" s="2">
        <f t="shared" si="24"/>
        <v>28</v>
      </c>
      <c r="E140" t="s">
        <v>14</v>
      </c>
      <c r="F140">
        <v>0</v>
      </c>
      <c r="G140" t="s">
        <v>14</v>
      </c>
    </row>
    <row r="141" spans="1:7" x14ac:dyDescent="0.25">
      <c r="A141" s="5" t="s">
        <v>586</v>
      </c>
      <c r="B141" t="s">
        <v>127</v>
      </c>
      <c r="C141" t="s">
        <v>248</v>
      </c>
      <c r="D141" s="2">
        <f t="shared" si="24"/>
        <v>48</v>
      </c>
      <c r="E141" t="s">
        <v>14</v>
      </c>
      <c r="F141">
        <v>0</v>
      </c>
      <c r="G141" t="s">
        <v>14</v>
      </c>
    </row>
    <row r="142" spans="1:7" x14ac:dyDescent="0.25">
      <c r="A142" s="5" t="s">
        <v>587</v>
      </c>
      <c r="B142" t="s">
        <v>127</v>
      </c>
      <c r="C142" t="s">
        <v>249</v>
      </c>
      <c r="D142" s="2">
        <f t="shared" si="24"/>
        <v>42</v>
      </c>
      <c r="E142" t="s">
        <v>14</v>
      </c>
      <c r="F142">
        <v>0</v>
      </c>
      <c r="G142" t="s">
        <v>14</v>
      </c>
    </row>
    <row r="143" spans="1:7" x14ac:dyDescent="0.25">
      <c r="A143" s="5" t="s">
        <v>588</v>
      </c>
      <c r="B143" t="s">
        <v>127</v>
      </c>
      <c r="C143" t="s">
        <v>250</v>
      </c>
      <c r="D143" s="2">
        <f t="shared" si="24"/>
        <v>45</v>
      </c>
      <c r="E143" t="s">
        <v>14</v>
      </c>
      <c r="F143">
        <v>0</v>
      </c>
      <c r="G143" t="s">
        <v>14</v>
      </c>
    </row>
    <row r="144" spans="1:7" x14ac:dyDescent="0.25">
      <c r="A144" s="5" t="s">
        <v>589</v>
      </c>
      <c r="B144" t="s">
        <v>127</v>
      </c>
      <c r="C144" t="s">
        <v>251</v>
      </c>
      <c r="D144" s="2">
        <f t="shared" si="24"/>
        <v>38</v>
      </c>
      <c r="E144" t="s">
        <v>14</v>
      </c>
      <c r="F144">
        <v>0</v>
      </c>
      <c r="G144" t="s">
        <v>14</v>
      </c>
    </row>
    <row r="145" spans="1:8" x14ac:dyDescent="0.25">
      <c r="A145" s="5" t="s">
        <v>623</v>
      </c>
      <c r="B145" t="s">
        <v>127</v>
      </c>
      <c r="C145" t="s">
        <v>252</v>
      </c>
      <c r="D145" s="2">
        <f t="shared" si="24"/>
        <v>39</v>
      </c>
      <c r="E145" t="s">
        <v>14</v>
      </c>
      <c r="F145">
        <v>0</v>
      </c>
      <c r="G145" t="s">
        <v>14</v>
      </c>
    </row>
    <row r="146" spans="1:8" x14ac:dyDescent="0.25">
      <c r="A146" s="5" t="s">
        <v>624</v>
      </c>
      <c r="B146" t="s">
        <v>127</v>
      </c>
      <c r="C146" t="s">
        <v>253</v>
      </c>
      <c r="D146" s="2">
        <f t="shared" si="24"/>
        <v>34</v>
      </c>
      <c r="E146" t="s">
        <v>14</v>
      </c>
      <c r="F146">
        <v>0</v>
      </c>
      <c r="G146" t="s">
        <v>14</v>
      </c>
    </row>
    <row r="147" spans="1:8" x14ac:dyDescent="0.25">
      <c r="A147" s="5" t="s">
        <v>625</v>
      </c>
      <c r="B147" t="s">
        <v>127</v>
      </c>
      <c r="C147" t="s">
        <v>254</v>
      </c>
      <c r="D147" s="2">
        <f t="shared" si="24"/>
        <v>44</v>
      </c>
      <c r="E147" t="s">
        <v>14</v>
      </c>
      <c r="F147">
        <v>0</v>
      </c>
      <c r="G147" t="s">
        <v>14</v>
      </c>
    </row>
    <row r="148" spans="1:8" x14ac:dyDescent="0.25">
      <c r="A148" s="5" t="s">
        <v>626</v>
      </c>
      <c r="B148" t="s">
        <v>127</v>
      </c>
      <c r="C148" t="s">
        <v>255</v>
      </c>
      <c r="D148" s="2">
        <f t="shared" si="24"/>
        <v>43</v>
      </c>
      <c r="E148" t="s">
        <v>14</v>
      </c>
      <c r="F148">
        <v>0</v>
      </c>
      <c r="G148" t="s">
        <v>14</v>
      </c>
    </row>
    <row r="149" spans="1:8" x14ac:dyDescent="0.25">
      <c r="A149" s="5" t="s">
        <v>622</v>
      </c>
      <c r="B149" t="s">
        <v>127</v>
      </c>
      <c r="C149" t="s">
        <v>256</v>
      </c>
      <c r="D149" s="2">
        <f t="shared" si="24"/>
        <v>41</v>
      </c>
      <c r="E149" t="s">
        <v>14</v>
      </c>
      <c r="F149">
        <v>0</v>
      </c>
      <c r="G149" t="s">
        <v>14</v>
      </c>
    </row>
    <row r="150" spans="1:8" x14ac:dyDescent="0.25">
      <c r="A150" s="5" t="s">
        <v>591</v>
      </c>
      <c r="B150" t="s">
        <v>127</v>
      </c>
      <c r="C150" t="s">
        <v>257</v>
      </c>
      <c r="D150" s="2">
        <f t="shared" ref="D150:D154" si="27">LEN(C150)</f>
        <v>39</v>
      </c>
      <c r="E150" t="s">
        <v>14</v>
      </c>
      <c r="F150">
        <v>0</v>
      </c>
      <c r="G150" t="s">
        <v>14</v>
      </c>
    </row>
    <row r="151" spans="1:8" x14ac:dyDescent="0.25">
      <c r="A151" t="s">
        <v>559</v>
      </c>
      <c r="B151" t="s">
        <v>16</v>
      </c>
      <c r="C151" t="s">
        <v>17</v>
      </c>
      <c r="D151" s="2">
        <f t="shared" si="27"/>
        <v>7</v>
      </c>
      <c r="E151" t="s">
        <v>18</v>
      </c>
      <c r="F151" t="s">
        <v>19</v>
      </c>
      <c r="G151" t="s">
        <v>40</v>
      </c>
      <c r="H151" t="s">
        <v>53</v>
      </c>
    </row>
    <row r="152" spans="1:8" x14ac:dyDescent="0.25">
      <c r="A152" t="s">
        <v>258</v>
      </c>
      <c r="B152" t="s">
        <v>127</v>
      </c>
      <c r="C152" t="s">
        <v>259</v>
      </c>
      <c r="D152" s="2">
        <f t="shared" si="27"/>
        <v>36</v>
      </c>
      <c r="E152" t="s">
        <v>14</v>
      </c>
      <c r="F152">
        <v>0</v>
      </c>
      <c r="G152" t="s">
        <v>14</v>
      </c>
    </row>
    <row r="153" spans="1:8" x14ac:dyDescent="0.25">
      <c r="A153" t="s">
        <v>165</v>
      </c>
      <c r="B153" t="s">
        <v>16</v>
      </c>
      <c r="C153" t="s">
        <v>17</v>
      </c>
      <c r="D153" s="2">
        <f t="shared" si="27"/>
        <v>7</v>
      </c>
      <c r="E153" t="s">
        <v>53</v>
      </c>
    </row>
    <row r="154" spans="1:8" x14ac:dyDescent="0.25">
      <c r="A154" t="s">
        <v>590</v>
      </c>
      <c r="B154" t="s">
        <v>127</v>
      </c>
      <c r="C154" t="s">
        <v>260</v>
      </c>
      <c r="D154" s="2">
        <f t="shared" si="27"/>
        <v>21</v>
      </c>
    </row>
  </sheetData>
  <conditionalFormatting sqref="D68:D69 D78:D79 D29:D35 D13 D16:D26 D61:D63 D6 D8:D10 D37 D81:D84 D86:D154 D65">
    <cfRule type="cellIs" dxfId="69" priority="41" operator="greaterThan">
      <formula>49</formula>
    </cfRule>
  </conditionalFormatting>
  <conditionalFormatting sqref="D12">
    <cfRule type="cellIs" dxfId="68" priority="40" operator="greaterThan">
      <formula>49</formula>
    </cfRule>
  </conditionalFormatting>
  <conditionalFormatting sqref="D3:D5">
    <cfRule type="cellIs" dxfId="67" priority="39" operator="greaterThan">
      <formula>49</formula>
    </cfRule>
  </conditionalFormatting>
  <conditionalFormatting sqref="D70">
    <cfRule type="cellIs" dxfId="66" priority="38" operator="greaterThan">
      <formula>49</formula>
    </cfRule>
  </conditionalFormatting>
  <conditionalFormatting sqref="D27">
    <cfRule type="cellIs" dxfId="65" priority="36" operator="greaterThan">
      <formula>49</formula>
    </cfRule>
  </conditionalFormatting>
  <conditionalFormatting sqref="D71">
    <cfRule type="cellIs" dxfId="64" priority="37" operator="greaterThan">
      <formula>49</formula>
    </cfRule>
  </conditionalFormatting>
  <conditionalFormatting sqref="D28">
    <cfRule type="cellIs" dxfId="63" priority="35" operator="greaterThan">
      <formula>49</formula>
    </cfRule>
  </conditionalFormatting>
  <conditionalFormatting sqref="D11">
    <cfRule type="cellIs" dxfId="62" priority="34" operator="greaterThan">
      <formula>49</formula>
    </cfRule>
  </conditionalFormatting>
  <conditionalFormatting sqref="D14">
    <cfRule type="cellIs" dxfId="61" priority="33" operator="greaterThan">
      <formula>49</formula>
    </cfRule>
  </conditionalFormatting>
  <conditionalFormatting sqref="D42">
    <cfRule type="cellIs" dxfId="60" priority="26" operator="greaterThan">
      <formula>49</formula>
    </cfRule>
  </conditionalFormatting>
  <conditionalFormatting sqref="D15">
    <cfRule type="cellIs" dxfId="59" priority="32" operator="greaterThan">
      <formula>49</formula>
    </cfRule>
  </conditionalFormatting>
  <conditionalFormatting sqref="D36">
    <cfRule type="cellIs" dxfId="58" priority="31" operator="greaterThan">
      <formula>49</formula>
    </cfRule>
  </conditionalFormatting>
  <conditionalFormatting sqref="D38">
    <cfRule type="cellIs" dxfId="57" priority="30" operator="greaterThan">
      <formula>49</formula>
    </cfRule>
  </conditionalFormatting>
  <conditionalFormatting sqref="D39">
    <cfRule type="cellIs" dxfId="56" priority="29" operator="greaterThan">
      <formula>49</formula>
    </cfRule>
  </conditionalFormatting>
  <conditionalFormatting sqref="D40">
    <cfRule type="cellIs" dxfId="55" priority="28" operator="greaterThan">
      <formula>49</formula>
    </cfRule>
  </conditionalFormatting>
  <conditionalFormatting sqref="D41">
    <cfRule type="cellIs" dxfId="54" priority="27" operator="greaterThan">
      <formula>49</formula>
    </cfRule>
  </conditionalFormatting>
  <conditionalFormatting sqref="D43">
    <cfRule type="cellIs" dxfId="53" priority="25" operator="greaterThan">
      <formula>49</formula>
    </cfRule>
  </conditionalFormatting>
  <conditionalFormatting sqref="D44">
    <cfRule type="cellIs" dxfId="52" priority="24" operator="greaterThan">
      <formula>49</formula>
    </cfRule>
  </conditionalFormatting>
  <conditionalFormatting sqref="D66:D67">
    <cfRule type="cellIs" dxfId="51" priority="23" operator="greaterThan">
      <formula>49</formula>
    </cfRule>
  </conditionalFormatting>
  <conditionalFormatting sqref="D80">
    <cfRule type="cellIs" dxfId="50" priority="22" operator="greaterThan">
      <formula>49</formula>
    </cfRule>
  </conditionalFormatting>
  <conditionalFormatting sqref="D72">
    <cfRule type="cellIs" dxfId="49" priority="21" operator="greaterThan">
      <formula>49</formula>
    </cfRule>
  </conditionalFormatting>
  <conditionalFormatting sqref="D73">
    <cfRule type="cellIs" dxfId="48" priority="20" operator="greaterThan">
      <formula>49</formula>
    </cfRule>
  </conditionalFormatting>
  <conditionalFormatting sqref="D74">
    <cfRule type="cellIs" dxfId="47" priority="19" operator="greaterThan">
      <formula>49</formula>
    </cfRule>
  </conditionalFormatting>
  <conditionalFormatting sqref="D75">
    <cfRule type="cellIs" dxfId="46" priority="18" operator="greaterThan">
      <formula>49</formula>
    </cfRule>
  </conditionalFormatting>
  <conditionalFormatting sqref="D76:D77">
    <cfRule type="cellIs" dxfId="45" priority="17" operator="greaterThan">
      <formula>49</formula>
    </cfRule>
  </conditionalFormatting>
  <conditionalFormatting sqref="D47">
    <cfRule type="cellIs" dxfId="44" priority="16" operator="greaterThan">
      <formula>49</formula>
    </cfRule>
  </conditionalFormatting>
  <conditionalFormatting sqref="D46">
    <cfRule type="cellIs" dxfId="43" priority="15" operator="greaterThan">
      <formula>49</formula>
    </cfRule>
  </conditionalFormatting>
  <conditionalFormatting sqref="D45">
    <cfRule type="cellIs" dxfId="42" priority="14" operator="greaterThan">
      <formula>49</formula>
    </cfRule>
  </conditionalFormatting>
  <conditionalFormatting sqref="D48">
    <cfRule type="cellIs" dxfId="41" priority="13" operator="greaterThan">
      <formula>49</formula>
    </cfRule>
  </conditionalFormatting>
  <conditionalFormatting sqref="D49">
    <cfRule type="cellIs" dxfId="40" priority="12" operator="greaterThan">
      <formula>49</formula>
    </cfRule>
  </conditionalFormatting>
  <conditionalFormatting sqref="D52">
    <cfRule type="cellIs" dxfId="39" priority="11" operator="greaterThan">
      <formula>49</formula>
    </cfRule>
  </conditionalFormatting>
  <conditionalFormatting sqref="D51">
    <cfRule type="cellIs" dxfId="38" priority="10" operator="greaterThan">
      <formula>49</formula>
    </cfRule>
  </conditionalFormatting>
  <conditionalFormatting sqref="D50">
    <cfRule type="cellIs" dxfId="37" priority="9" operator="greaterThan">
      <formula>49</formula>
    </cfRule>
  </conditionalFormatting>
  <conditionalFormatting sqref="D53">
    <cfRule type="cellIs" dxfId="36" priority="8" operator="greaterThan">
      <formula>49</formula>
    </cfRule>
  </conditionalFormatting>
  <conditionalFormatting sqref="D54">
    <cfRule type="cellIs" dxfId="35" priority="7" operator="greaterThan">
      <formula>49</formula>
    </cfRule>
  </conditionalFormatting>
  <conditionalFormatting sqref="D57">
    <cfRule type="cellIs" dxfId="34" priority="6" operator="greaterThan">
      <formula>49</formula>
    </cfRule>
  </conditionalFormatting>
  <conditionalFormatting sqref="D56">
    <cfRule type="cellIs" dxfId="33" priority="5" operator="greaterThan">
      <formula>49</formula>
    </cfRule>
  </conditionalFormatting>
  <conditionalFormatting sqref="D55">
    <cfRule type="cellIs" dxfId="32" priority="4" operator="greaterThan">
      <formula>49</formula>
    </cfRule>
  </conditionalFormatting>
  <conditionalFormatting sqref="D58">
    <cfRule type="cellIs" dxfId="31" priority="3" operator="greaterThan">
      <formula>49</formula>
    </cfRule>
  </conditionalFormatting>
  <conditionalFormatting sqref="D59">
    <cfRule type="cellIs" dxfId="30" priority="2" operator="greaterThan">
      <formula>49</formula>
    </cfRule>
  </conditionalFormatting>
  <conditionalFormatting sqref="D64">
    <cfRule type="cellIs" dxfId="29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  <ignoredErrors>
    <ignoredError sqref="M71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0"/>
  <sheetViews>
    <sheetView view="pageBreakPreview" topLeftCell="A40" zoomScale="90" zoomScaleNormal="100" zoomScaleSheetLayoutView="90" workbookViewId="0">
      <selection activeCell="K48" sqref="K48"/>
    </sheetView>
  </sheetViews>
  <sheetFormatPr defaultRowHeight="15" x14ac:dyDescent="0.25"/>
  <cols>
    <col min="1" max="1" width="30.28515625" bestFit="1" customWidth="1"/>
    <col min="2" max="2" width="14.5703125" bestFit="1" customWidth="1"/>
    <col min="3" max="3" width="41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5.570312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71093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441</v>
      </c>
      <c r="B3" s="4" t="str">
        <f>BXXPLC1!A5</f>
        <v>BXX</v>
      </c>
      <c r="C3" s="3" t="s">
        <v>304</v>
      </c>
      <c r="D3" s="2">
        <f>LEN(C3)</f>
        <v>13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 t="shared" ref="D4:D62" si="0"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436</v>
      </c>
      <c r="B5" t="s">
        <v>16</v>
      </c>
      <c r="C5" t="s">
        <v>17</v>
      </c>
      <c r="D5" s="2">
        <f t="shared" si="0"/>
        <v>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51</v>
      </c>
      <c r="O5" t="s">
        <v>52</v>
      </c>
      <c r="P5" t="s">
        <v>27</v>
      </c>
      <c r="Q5" t="s">
        <v>35</v>
      </c>
      <c r="R5" t="s">
        <v>53</v>
      </c>
    </row>
    <row r="6" spans="1:23" x14ac:dyDescent="0.25">
      <c r="A6" t="s">
        <v>283</v>
      </c>
      <c r="B6" t="s">
        <v>127</v>
      </c>
      <c r="C6" t="s">
        <v>284</v>
      </c>
      <c r="D6" s="2">
        <f t="shared" si="0"/>
        <v>39</v>
      </c>
      <c r="E6" t="s">
        <v>14</v>
      </c>
      <c r="F6" t="s">
        <v>14</v>
      </c>
      <c r="G6">
        <v>0</v>
      </c>
      <c r="H6" t="s">
        <v>13</v>
      </c>
      <c r="I6" t="s">
        <v>61</v>
      </c>
      <c r="L6" t="s">
        <v>56</v>
      </c>
      <c r="M6">
        <v>1</v>
      </c>
      <c r="N6" t="s">
        <v>285</v>
      </c>
      <c r="O6">
        <v>0</v>
      </c>
      <c r="P6">
        <v>0</v>
      </c>
    </row>
    <row r="7" spans="1:23" x14ac:dyDescent="0.25">
      <c r="A7" t="s">
        <v>286</v>
      </c>
      <c r="B7" t="s">
        <v>127</v>
      </c>
      <c r="C7" t="s">
        <v>287</v>
      </c>
      <c r="D7" s="2">
        <f t="shared" si="0"/>
        <v>34</v>
      </c>
      <c r="E7" t="s">
        <v>14</v>
      </c>
      <c r="F7" t="s">
        <v>14</v>
      </c>
      <c r="G7">
        <v>0</v>
      </c>
      <c r="H7" t="s">
        <v>13</v>
      </c>
      <c r="I7" t="s">
        <v>61</v>
      </c>
      <c r="L7" t="s">
        <v>56</v>
      </c>
      <c r="M7">
        <v>1</v>
      </c>
      <c r="N7" t="s">
        <v>285</v>
      </c>
      <c r="O7">
        <v>0</v>
      </c>
      <c r="P7">
        <v>0</v>
      </c>
    </row>
    <row r="8" spans="1:23" x14ac:dyDescent="0.25">
      <c r="A8" s="5" t="s">
        <v>425</v>
      </c>
      <c r="B8" t="s">
        <v>16</v>
      </c>
      <c r="C8" t="s">
        <v>17</v>
      </c>
      <c r="D8" s="2">
        <f t="shared" si="0"/>
        <v>7</v>
      </c>
      <c r="E8" t="s">
        <v>39</v>
      </c>
      <c r="F8" t="s">
        <v>18</v>
      </c>
      <c r="G8" t="s">
        <v>19</v>
      </c>
      <c r="H8" t="s">
        <v>40</v>
      </c>
      <c r="I8" t="s">
        <v>41</v>
      </c>
      <c r="J8" t="s">
        <v>42</v>
      </c>
      <c r="K8" t="s">
        <v>43</v>
      </c>
      <c r="L8" t="s">
        <v>44</v>
      </c>
      <c r="M8" t="s">
        <v>45</v>
      </c>
      <c r="N8" t="s">
        <v>46</v>
      </c>
      <c r="O8" t="s">
        <v>47</v>
      </c>
      <c r="P8" t="s">
        <v>48</v>
      </c>
      <c r="Q8" t="s">
        <v>49</v>
      </c>
      <c r="R8" t="s">
        <v>50</v>
      </c>
      <c r="S8" t="s">
        <v>51</v>
      </c>
      <c r="T8" t="s">
        <v>52</v>
      </c>
      <c r="U8" t="s">
        <v>27</v>
      </c>
      <c r="V8" t="s">
        <v>35</v>
      </c>
      <c r="W8" t="s">
        <v>53</v>
      </c>
    </row>
    <row r="9" spans="1:23" x14ac:dyDescent="0.25">
      <c r="A9" s="4" t="str">
        <f>$A$3&amp;"_DI_AD"</f>
        <v>BXX_GEN1_DE1_DI_AD</v>
      </c>
      <c r="B9" s="4" t="str">
        <f>A4</f>
        <v>BXX_DSAB</v>
      </c>
      <c r="C9" s="4" t="str">
        <f>$C$3 &amp; " Disabled Alarm"</f>
        <v>BXX Generator Disabled Alarm</v>
      </c>
      <c r="D9" s="2">
        <f t="shared" si="0"/>
        <v>28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54</v>
      </c>
      <c r="K9" t="s">
        <v>61</v>
      </c>
      <c r="L9" t="s">
        <v>61</v>
      </c>
      <c r="M9" s="5">
        <v>98</v>
      </c>
      <c r="N9" t="s">
        <v>57</v>
      </c>
      <c r="O9" s="4" t="str">
        <f>BXXPLC1!C3</f>
        <v>BXX</v>
      </c>
      <c r="P9" t="s">
        <v>14</v>
      </c>
      <c r="Q9" s="4" t="str">
        <f>$A$3&amp;".DI_AD"</f>
        <v>BXX_GEN1_DE1.DI_AD</v>
      </c>
      <c r="R9" t="s">
        <v>14</v>
      </c>
      <c r="S9" s="4" t="str">
        <f>C9</f>
        <v>BXX Generator Disabled Alarm</v>
      </c>
      <c r="T9">
        <v>0</v>
      </c>
      <c r="U9">
        <v>0</v>
      </c>
    </row>
    <row r="10" spans="1:23" x14ac:dyDescent="0.25">
      <c r="A10" s="4" t="str">
        <f>$A$3&amp;"_DI_CL"</f>
        <v>BXX_GEN1_DE1_DI_CL</v>
      </c>
      <c r="B10" s="4" t="str">
        <f>$A$3</f>
        <v>BXX_GEN1_DE1</v>
      </c>
      <c r="C10" s="4" t="str">
        <f>$C$3&amp;" Control Mode"</f>
        <v>BXX Generator Control Mode</v>
      </c>
      <c r="D10" s="2">
        <f t="shared" si="0"/>
        <v>26</v>
      </c>
      <c r="E10" t="s">
        <v>14</v>
      </c>
      <c r="F10" t="s">
        <v>13</v>
      </c>
      <c r="G10" s="5">
        <v>700</v>
      </c>
      <c r="H10" t="s">
        <v>13</v>
      </c>
      <c r="I10" t="s">
        <v>54</v>
      </c>
      <c r="J10" t="s">
        <v>175</v>
      </c>
      <c r="K10" t="s">
        <v>66</v>
      </c>
      <c r="L10" t="s">
        <v>56</v>
      </c>
      <c r="M10">
        <v>1</v>
      </c>
      <c r="N10" t="s">
        <v>57</v>
      </c>
      <c r="O10" s="4" t="str">
        <f>$O$9</f>
        <v>BXX</v>
      </c>
      <c r="P10" t="s">
        <v>14</v>
      </c>
      <c r="Q10" s="4" t="str">
        <f>$A$3&amp;".DI_CL.eng"</f>
        <v>BXX_GEN1_DE1.DI_CL.eng</v>
      </c>
      <c r="R10" t="s">
        <v>14</v>
      </c>
      <c r="S10" s="4" t="str">
        <f>C10</f>
        <v>BXX Generator Control Mode</v>
      </c>
      <c r="T10">
        <v>0</v>
      </c>
      <c r="U10">
        <v>0</v>
      </c>
    </row>
    <row r="11" spans="1:23" x14ac:dyDescent="0.25">
      <c r="A11" s="4" t="str">
        <f>$A$3&amp;"_DI_SS"</f>
        <v>BXX_GEN1_DE1_DI_SS</v>
      </c>
      <c r="B11" s="4" t="str">
        <f t="shared" ref="B11:B41" si="1">$A$3</f>
        <v>BXX_GEN1_DE1</v>
      </c>
      <c r="C11" s="4" t="str">
        <f>$C$3&amp;" Running Status"</f>
        <v>BXX Generator Running Status</v>
      </c>
      <c r="D11" s="2">
        <f t="shared" si="0"/>
        <v>28</v>
      </c>
      <c r="E11" t="s">
        <v>14</v>
      </c>
      <c r="F11" t="s">
        <v>14</v>
      </c>
      <c r="G11" s="5">
        <v>0</v>
      </c>
      <c r="H11" t="s">
        <v>13</v>
      </c>
      <c r="I11" t="s">
        <v>54</v>
      </c>
      <c r="J11" t="s">
        <v>176</v>
      </c>
      <c r="K11" t="s">
        <v>177</v>
      </c>
      <c r="L11" t="s">
        <v>56</v>
      </c>
      <c r="M11">
        <v>1</v>
      </c>
      <c r="N11" t="s">
        <v>57</v>
      </c>
      <c r="O11" s="4" t="str">
        <f t="shared" ref="O11:O25" si="2">$O$9</f>
        <v>BXX</v>
      </c>
      <c r="P11" t="s">
        <v>14</v>
      </c>
      <c r="Q11" s="4" t="str">
        <f>$A$3&amp;".DI_SS.eng"</f>
        <v>BXX_GEN1_DE1.DI_SS.eng</v>
      </c>
      <c r="R11" t="s">
        <v>14</v>
      </c>
      <c r="S11" s="4" t="str">
        <f t="shared" ref="S11:S40" si="3">C11</f>
        <v>BXX Generator Running Status</v>
      </c>
      <c r="T11">
        <v>0</v>
      </c>
      <c r="U11">
        <v>0</v>
      </c>
    </row>
    <row r="12" spans="1:23" x14ac:dyDescent="0.25">
      <c r="A12" s="4" t="str">
        <f>$A$3&amp;"_DA_SS"</f>
        <v>BXX_GEN1_DE1_DA_SS</v>
      </c>
      <c r="B12" s="4" t="str">
        <f t="shared" si="1"/>
        <v>BXX_GEN1_DE1</v>
      </c>
      <c r="C12" s="4" t="str">
        <f>$C$3&amp;" Running Alarm"</f>
        <v>BXX Generator Running Alarm</v>
      </c>
      <c r="D12" s="2">
        <f t="shared" si="0"/>
        <v>27</v>
      </c>
      <c r="E12" t="s">
        <v>13</v>
      </c>
      <c r="F12" t="s">
        <v>14</v>
      </c>
      <c r="G12" s="5">
        <v>0</v>
      </c>
      <c r="H12" t="s">
        <v>13</v>
      </c>
      <c r="I12" t="s">
        <v>54</v>
      </c>
      <c r="J12" t="s">
        <v>176</v>
      </c>
      <c r="K12" t="s">
        <v>177</v>
      </c>
      <c r="L12" t="s">
        <v>61</v>
      </c>
      <c r="M12" s="5">
        <v>55</v>
      </c>
      <c r="N12" t="s">
        <v>57</v>
      </c>
      <c r="O12" s="4" t="str">
        <f t="shared" si="2"/>
        <v>BXX</v>
      </c>
      <c r="P12" t="s">
        <v>14</v>
      </c>
      <c r="Q12" s="4" t="str">
        <f>$A$3&amp;".DA_SS.eng"</f>
        <v>BXX_GEN1_DE1.DA_SS.eng</v>
      </c>
      <c r="R12" t="s">
        <v>14</v>
      </c>
      <c r="S12" s="4" t="str">
        <f t="shared" si="3"/>
        <v>BXX Generator Running Alarm</v>
      </c>
      <c r="T12">
        <v>0</v>
      </c>
      <c r="U12">
        <v>0</v>
      </c>
    </row>
    <row r="13" spans="1:23" x14ac:dyDescent="0.25">
      <c r="A13" s="4" t="str">
        <f>$A$3&amp;"_DA_ES"</f>
        <v>BXX_GEN1_DE1_DA_ES</v>
      </c>
      <c r="B13" s="4" t="str">
        <f t="shared" si="1"/>
        <v>BXX_GEN1_DE1</v>
      </c>
      <c r="C13" s="4" t="str">
        <f>$C$3&amp;" E-Stop"</f>
        <v>BXX Generator E-Stop</v>
      </c>
      <c r="D13" s="2">
        <f t="shared" si="0"/>
        <v>20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J13" t="s">
        <v>62</v>
      </c>
      <c r="K13" t="s">
        <v>119</v>
      </c>
      <c r="L13" t="s">
        <v>61</v>
      </c>
      <c r="M13" s="5">
        <v>50</v>
      </c>
      <c r="N13" t="s">
        <v>57</v>
      </c>
      <c r="O13" s="4" t="str">
        <f t="shared" si="2"/>
        <v>BXX</v>
      </c>
      <c r="P13" t="s">
        <v>14</v>
      </c>
      <c r="Q13" s="4" t="str">
        <f>$A$3&amp;".DA_ES.eng"</f>
        <v>BXX_GEN1_DE1.DA_ES.eng</v>
      </c>
      <c r="R13" t="s">
        <v>14</v>
      </c>
      <c r="S13" s="4" t="str">
        <f t="shared" si="3"/>
        <v>BXX Generator E-Stop</v>
      </c>
      <c r="T13">
        <v>0</v>
      </c>
      <c r="U13">
        <v>0</v>
      </c>
    </row>
    <row r="14" spans="1:23" x14ac:dyDescent="0.25">
      <c r="A14" s="4" t="str">
        <f>$A$3&amp;"_DA_JW"</f>
        <v>BXX_GEN1_DE1_DA_JW</v>
      </c>
      <c r="B14" s="4" t="str">
        <f t="shared" si="1"/>
        <v>BXX_GEN1_DE1</v>
      </c>
      <c r="C14" s="4" t="str">
        <f>$C$3&amp;" Warning"</f>
        <v>BXX Generator Warning</v>
      </c>
      <c r="D14" s="2">
        <f t="shared" si="0"/>
        <v>21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55</v>
      </c>
      <c r="N14" t="s">
        <v>57</v>
      </c>
      <c r="O14" s="4" t="str">
        <f t="shared" si="2"/>
        <v>BXX</v>
      </c>
      <c r="P14" t="s">
        <v>14</v>
      </c>
      <c r="Q14" s="4" t="str">
        <f>$A$3&amp;".DA_JW.eng"</f>
        <v>BXX_GEN1_DE1.DA_JW.eng</v>
      </c>
      <c r="R14" t="s">
        <v>14</v>
      </c>
      <c r="S14" s="4" t="str">
        <f t="shared" si="3"/>
        <v>BXX Generator Warning</v>
      </c>
      <c r="T14">
        <v>0</v>
      </c>
      <c r="U14">
        <v>0</v>
      </c>
    </row>
    <row r="15" spans="1:23" x14ac:dyDescent="0.25">
      <c r="A15" s="4" t="str">
        <f>$A$3&amp;"_DA_GA"</f>
        <v>BXX_GEN1_DE1_DA_GA</v>
      </c>
      <c r="B15" s="4" t="str">
        <f t="shared" si="1"/>
        <v>BXX_GEN1_DE1</v>
      </c>
      <c r="C15" s="4" t="str">
        <f>$C$3&amp;" Fault"</f>
        <v>BXX Generator Fault</v>
      </c>
      <c r="D15" s="2">
        <f t="shared" si="0"/>
        <v>19</v>
      </c>
      <c r="E15" t="s">
        <v>14</v>
      </c>
      <c r="F15" t="s">
        <v>14</v>
      </c>
      <c r="G15">
        <v>0</v>
      </c>
      <c r="H15" t="s">
        <v>13</v>
      </c>
      <c r="I15" t="s">
        <v>54</v>
      </c>
      <c r="J15" t="s">
        <v>62</v>
      </c>
      <c r="K15" t="s">
        <v>119</v>
      </c>
      <c r="L15" t="s">
        <v>61</v>
      </c>
      <c r="M15" s="5">
        <v>55</v>
      </c>
      <c r="N15" t="s">
        <v>57</v>
      </c>
      <c r="O15" s="4" t="str">
        <f t="shared" si="2"/>
        <v>BXX</v>
      </c>
      <c r="P15" t="s">
        <v>14</v>
      </c>
      <c r="Q15" s="4" t="str">
        <f>$A$3&amp;".DA_GA.eng"</f>
        <v>BXX_GEN1_DE1.DA_GA.eng</v>
      </c>
      <c r="R15" t="s">
        <v>14</v>
      </c>
      <c r="S15" s="4" t="str">
        <f t="shared" si="3"/>
        <v>BXX Generator Fault</v>
      </c>
      <c r="T15">
        <v>0</v>
      </c>
      <c r="U15">
        <v>0</v>
      </c>
    </row>
    <row r="16" spans="1:23" x14ac:dyDescent="0.25">
      <c r="A16" s="4" t="str">
        <f>$A$3&amp;"_PB_AR"</f>
        <v>BXX_GEN1_DE1_PB_AR</v>
      </c>
      <c r="B16" s="4" t="str">
        <f t="shared" si="1"/>
        <v>BXX_GEN1_DE1</v>
      </c>
      <c r="C16" s="4" t="str">
        <f>$C$3&amp;" Alarm Ack"</f>
        <v>BXX Generator Alarm Ack</v>
      </c>
      <c r="D16" s="2">
        <f t="shared" si="0"/>
        <v>23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62</v>
      </c>
      <c r="K16" t="s">
        <v>183</v>
      </c>
      <c r="L16" t="s">
        <v>56</v>
      </c>
      <c r="M16">
        <v>1</v>
      </c>
      <c r="N16" t="s">
        <v>57</v>
      </c>
      <c r="O16" s="4" t="str">
        <f t="shared" si="2"/>
        <v>BXX</v>
      </c>
      <c r="P16" t="s">
        <v>14</v>
      </c>
      <c r="Q16" s="4" t="str">
        <f>$A$3&amp;".PB_AR"</f>
        <v>BXX_GEN1_DE1.PB_AR</v>
      </c>
      <c r="R16" t="s">
        <v>14</v>
      </c>
      <c r="S16" s="4" t="str">
        <f t="shared" si="3"/>
        <v>BXX Generator Alarm Ack</v>
      </c>
      <c r="T16">
        <v>0</v>
      </c>
      <c r="U16">
        <v>0</v>
      </c>
    </row>
    <row r="17" spans="1:21" x14ac:dyDescent="0.25">
      <c r="A17" s="4" t="str">
        <f>$A$3&amp;"_PB_RT"</f>
        <v>BXX_GEN1_DE1_PB_RT</v>
      </c>
      <c r="B17" s="4" t="str">
        <f t="shared" si="1"/>
        <v>BXX_GEN1_DE1</v>
      </c>
      <c r="C17" s="4" t="str">
        <f>$C$3&amp;" Runtime Reset"</f>
        <v>BXX Generator Runtime Reset</v>
      </c>
      <c r="D17" s="2">
        <f t="shared" si="0"/>
        <v>27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62</v>
      </c>
      <c r="K17" t="s">
        <v>184</v>
      </c>
      <c r="L17" t="s">
        <v>56</v>
      </c>
      <c r="M17">
        <v>1</v>
      </c>
      <c r="N17" t="s">
        <v>57</v>
      </c>
      <c r="O17" s="4" t="str">
        <f t="shared" si="2"/>
        <v>BXX</v>
      </c>
      <c r="P17" t="s">
        <v>14</v>
      </c>
      <c r="Q17" s="4" t="str">
        <f>$A$3&amp;".PB_RT"</f>
        <v>BXX_GEN1_DE1.PB_RT</v>
      </c>
      <c r="R17" t="s">
        <v>14</v>
      </c>
      <c r="S17" s="4" t="str">
        <f t="shared" si="3"/>
        <v>BXX Generator Runtime Reset</v>
      </c>
      <c r="T17">
        <v>0</v>
      </c>
      <c r="U17">
        <v>0</v>
      </c>
    </row>
    <row r="18" spans="1:21" x14ac:dyDescent="0.25">
      <c r="A18" s="4" t="str">
        <f>$A$3&amp;"_DA_SF"</f>
        <v>BXX_GEN1_DE1_DA_SF</v>
      </c>
      <c r="B18" s="4" t="str">
        <f t="shared" si="1"/>
        <v>BXX_GEN1_DE1</v>
      </c>
      <c r="C18" s="4" t="str">
        <f>$C$3&amp;" Failed To Start"</f>
        <v>BXX Generator Failed To Start</v>
      </c>
      <c r="D18" s="2">
        <f t="shared" si="0"/>
        <v>29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62</v>
      </c>
      <c r="K18" t="s">
        <v>119</v>
      </c>
      <c r="L18" t="s">
        <v>61</v>
      </c>
      <c r="M18" s="5">
        <v>51</v>
      </c>
      <c r="N18" t="s">
        <v>57</v>
      </c>
      <c r="O18" s="4" t="str">
        <f t="shared" si="2"/>
        <v>BXX</v>
      </c>
      <c r="P18" t="s">
        <v>14</v>
      </c>
      <c r="Q18" s="4" t="str">
        <f>$A$3&amp;".DA_SF"</f>
        <v>BXX_GEN1_DE1.DA_SF</v>
      </c>
      <c r="R18" t="s">
        <v>14</v>
      </c>
      <c r="S18" s="4" t="str">
        <f t="shared" si="3"/>
        <v>BXX Generator Failed To Start</v>
      </c>
      <c r="T18">
        <v>0</v>
      </c>
      <c r="U18">
        <v>0</v>
      </c>
    </row>
    <row r="19" spans="1:21" x14ac:dyDescent="0.25">
      <c r="A19" s="4" t="str">
        <f>$A$3&amp;"_DA_XF"</f>
        <v>BXX_GEN1_DE1_DA_XF</v>
      </c>
      <c r="B19" s="4" t="str">
        <f t="shared" si="1"/>
        <v>BXX_GEN1_DE1</v>
      </c>
      <c r="C19" s="4" t="str">
        <f>$C$3&amp;" Failed To Stop"</f>
        <v>BXX Generator Failed To Stop</v>
      </c>
      <c r="D19" s="2">
        <f t="shared" si="0"/>
        <v>28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62</v>
      </c>
      <c r="K19" t="s">
        <v>119</v>
      </c>
      <c r="L19" t="s">
        <v>61</v>
      </c>
      <c r="M19" s="5">
        <v>52</v>
      </c>
      <c r="N19" t="s">
        <v>57</v>
      </c>
      <c r="O19" s="4" t="str">
        <f t="shared" si="2"/>
        <v>BXX</v>
      </c>
      <c r="P19" t="s">
        <v>14</v>
      </c>
      <c r="Q19" s="4" t="str">
        <f>$A$3&amp;".DA_XF"</f>
        <v>BXX_GEN1_DE1.DA_XF</v>
      </c>
      <c r="R19" t="s">
        <v>14</v>
      </c>
      <c r="S19" s="4" t="str">
        <f t="shared" si="3"/>
        <v>BXX Generator Failed To Stop</v>
      </c>
      <c r="T19">
        <v>0</v>
      </c>
      <c r="U19">
        <v>0</v>
      </c>
    </row>
    <row r="20" spans="1:21" x14ac:dyDescent="0.25">
      <c r="A20" s="4" t="str">
        <f>$A$3&amp;"_DA_RM"</f>
        <v>BXX_GEN1_DE1_DA_RM</v>
      </c>
      <c r="B20" s="4" t="str">
        <f t="shared" si="1"/>
        <v>BXX_GEN1_DE1</v>
      </c>
      <c r="C20" s="4" t="str">
        <f>$C$3&amp;" Not in Auto"</f>
        <v>BXX Generator Not in Auto</v>
      </c>
      <c r="D20" s="2">
        <f t="shared" si="0"/>
        <v>25</v>
      </c>
      <c r="E20" t="s">
        <v>14</v>
      </c>
      <c r="F20" t="s">
        <v>14</v>
      </c>
      <c r="G20">
        <v>0</v>
      </c>
      <c r="H20" t="s">
        <v>13</v>
      </c>
      <c r="I20" t="s">
        <v>54</v>
      </c>
      <c r="J20" t="s">
        <v>62</v>
      </c>
      <c r="K20" t="s">
        <v>119</v>
      </c>
      <c r="L20" t="s">
        <v>61</v>
      </c>
      <c r="M20" s="5">
        <v>49</v>
      </c>
      <c r="N20" t="s">
        <v>57</v>
      </c>
      <c r="O20" s="4" t="str">
        <f t="shared" si="2"/>
        <v>BXX</v>
      </c>
      <c r="P20" t="s">
        <v>14</v>
      </c>
      <c r="Q20" s="4" t="str">
        <f>$A$3&amp;".DA_RM"</f>
        <v>BXX_GEN1_DE1.DA_RM</v>
      </c>
      <c r="R20" t="s">
        <v>14</v>
      </c>
      <c r="S20" s="4" t="str">
        <f t="shared" si="3"/>
        <v>BXX Generator Not in Auto</v>
      </c>
      <c r="T20">
        <v>0</v>
      </c>
      <c r="U20">
        <v>0</v>
      </c>
    </row>
    <row r="21" spans="1:21" x14ac:dyDescent="0.25">
      <c r="A21" s="4" t="str">
        <f>$A$3&amp;"_PB_SF"</f>
        <v>BXX_GEN1_DE1_PB_SF</v>
      </c>
      <c r="B21" s="4" t="str">
        <f t="shared" si="1"/>
        <v>BXX_GEN1_DE1</v>
      </c>
      <c r="C21" s="4" t="str">
        <f>$C$3&amp;" Failed To Start Alarm En"</f>
        <v>BXX Generator Failed To Start Alarm En</v>
      </c>
      <c r="D21" s="2">
        <f t="shared" si="0"/>
        <v>38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60</v>
      </c>
      <c r="K21" t="s">
        <v>59</v>
      </c>
      <c r="L21" t="s">
        <v>56</v>
      </c>
      <c r="M21" s="5">
        <v>1</v>
      </c>
      <c r="N21" t="s">
        <v>57</v>
      </c>
      <c r="O21" s="4" t="str">
        <f t="shared" si="2"/>
        <v>BXX</v>
      </c>
      <c r="P21" t="s">
        <v>14</v>
      </c>
      <c r="Q21" s="4" t="str">
        <f>$A$3&amp;".PB_SF.RE"</f>
        <v>BXX_GEN1_DE1.PB_SF.RE</v>
      </c>
      <c r="R21" t="s">
        <v>14</v>
      </c>
      <c r="S21" s="4" t="str">
        <f t="shared" si="3"/>
        <v>BXX Generator Failed To Start Alarm En</v>
      </c>
      <c r="T21">
        <v>0</v>
      </c>
      <c r="U21">
        <v>0</v>
      </c>
    </row>
    <row r="22" spans="1:21" x14ac:dyDescent="0.25">
      <c r="A22" s="4" t="str">
        <f>$A$3&amp;"_PB_XF"</f>
        <v>BXX_GEN1_DE1_PB_XF</v>
      </c>
      <c r="B22" s="4" t="str">
        <f t="shared" si="1"/>
        <v>BXX_GEN1_DE1</v>
      </c>
      <c r="C22" s="4" t="str">
        <f>$C$3&amp;" Failed To Stop Alarm En"</f>
        <v>BXX Generator Failed To Stop Alarm En</v>
      </c>
      <c r="D22" s="2">
        <f t="shared" si="0"/>
        <v>37</v>
      </c>
      <c r="E22" t="s">
        <v>14</v>
      </c>
      <c r="F22" t="s">
        <v>13</v>
      </c>
      <c r="G22" s="5">
        <v>600</v>
      </c>
      <c r="H22" t="s">
        <v>13</v>
      </c>
      <c r="I22" t="s">
        <v>54</v>
      </c>
      <c r="J22" t="s">
        <v>60</v>
      </c>
      <c r="K22" t="s">
        <v>59</v>
      </c>
      <c r="L22" t="s">
        <v>56</v>
      </c>
      <c r="M22" s="5">
        <v>1</v>
      </c>
      <c r="N22" t="s">
        <v>57</v>
      </c>
      <c r="O22" s="4" t="str">
        <f t="shared" si="2"/>
        <v>BXX</v>
      </c>
      <c r="P22" t="s">
        <v>14</v>
      </c>
      <c r="Q22" s="4" t="str">
        <f>$A$3&amp;".PB_XF.RE"</f>
        <v>BXX_GEN1_DE1.PB_XF.RE</v>
      </c>
      <c r="R22" t="s">
        <v>14</v>
      </c>
      <c r="S22" s="4" t="str">
        <f t="shared" si="3"/>
        <v>BXX Generator Failed To Stop Alarm En</v>
      </c>
      <c r="T22">
        <v>0</v>
      </c>
      <c r="U22">
        <v>0</v>
      </c>
    </row>
    <row r="23" spans="1:21" x14ac:dyDescent="0.25">
      <c r="A23" s="4" t="str">
        <f>$A$3&amp;"_PB_RM"</f>
        <v>BXX_GEN1_DE1_PB_RM</v>
      </c>
      <c r="B23" s="4" t="str">
        <f t="shared" si="1"/>
        <v>BXX_GEN1_DE1</v>
      </c>
      <c r="C23" s="4" t="str">
        <f>$C$3&amp;" Not in Auto Alarm En"</f>
        <v>BXX Generator Not in Auto Alarm En</v>
      </c>
      <c r="D23" s="2">
        <f t="shared" si="0"/>
        <v>34</v>
      </c>
      <c r="E23" t="s">
        <v>14</v>
      </c>
      <c r="F23" t="s">
        <v>13</v>
      </c>
      <c r="G23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 s="5">
        <v>1</v>
      </c>
      <c r="N23" t="s">
        <v>57</v>
      </c>
      <c r="O23" s="4" t="str">
        <f t="shared" si="2"/>
        <v>BXX</v>
      </c>
      <c r="P23" t="s">
        <v>14</v>
      </c>
      <c r="Q23" s="4" t="str">
        <f>$A$3&amp;".PB_RM.RE"</f>
        <v>BXX_GEN1_DE1.PB_RM.RE</v>
      </c>
      <c r="R23" t="s">
        <v>14</v>
      </c>
      <c r="S23" s="4" t="str">
        <f t="shared" si="3"/>
        <v>BXX Generator Not in Auto Alarm En</v>
      </c>
      <c r="T23">
        <v>0</v>
      </c>
      <c r="U23">
        <v>0</v>
      </c>
    </row>
    <row r="24" spans="1:21" x14ac:dyDescent="0.25">
      <c r="A24" s="4" t="str">
        <f>$A$3&amp;"_PB_SM"</f>
        <v>BXX_GEN1_DE1_PB_SM</v>
      </c>
      <c r="B24" s="4" t="str">
        <f t="shared" si="1"/>
        <v>BXX_GEN1_DE1</v>
      </c>
      <c r="C24" s="4" t="str">
        <f>$C$3&amp;" Simulate Alarms PB"</f>
        <v>BXX Generator Simulate Alarms PB</v>
      </c>
      <c r="D24" s="2">
        <f t="shared" si="0"/>
        <v>32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54</v>
      </c>
      <c r="K24" t="s">
        <v>61</v>
      </c>
      <c r="L24" t="s">
        <v>56</v>
      </c>
      <c r="M24" s="5">
        <v>1</v>
      </c>
      <c r="N24" t="s">
        <v>57</v>
      </c>
      <c r="O24" s="4" t="str">
        <f t="shared" si="2"/>
        <v>BXX</v>
      </c>
      <c r="P24" t="s">
        <v>14</v>
      </c>
      <c r="Q24" s="4" t="str">
        <f>$A$3&amp;".PB_SM"</f>
        <v>BXX_GEN1_DE1.PB_SM</v>
      </c>
      <c r="R24" t="s">
        <v>14</v>
      </c>
      <c r="S24" s="4" t="str">
        <f t="shared" si="3"/>
        <v>BXX Generator Simulate Alarms PB</v>
      </c>
      <c r="T24">
        <v>0</v>
      </c>
      <c r="U24">
        <v>0</v>
      </c>
    </row>
    <row r="25" spans="1:21" x14ac:dyDescent="0.25">
      <c r="A25" s="4" t="str">
        <f>$A$3&amp;"_PB_AE"</f>
        <v>BXX_GEN1_DE1_PB_AE</v>
      </c>
      <c r="B25" s="4" t="str">
        <f t="shared" si="1"/>
        <v>BXX_GEN1_DE1</v>
      </c>
      <c r="C25" s="4" t="str">
        <f>$C$3&amp;" Alarm Enable"</f>
        <v>BXX Generator Alarm Enable</v>
      </c>
      <c r="D25" s="2">
        <f t="shared" si="0"/>
        <v>26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2"/>
        <v>BXX</v>
      </c>
      <c r="P25" t="s">
        <v>14</v>
      </c>
      <c r="Q25" s="4" t="str">
        <f>$A$3&amp;".PB_AE.RE"</f>
        <v>BXX_GEN1_DE1.PB_AE.RE</v>
      </c>
      <c r="R25" t="s">
        <v>14</v>
      </c>
      <c r="S25" s="4" t="str">
        <f t="shared" si="3"/>
        <v>BXX Generator Alarm Enable</v>
      </c>
      <c r="T25">
        <v>0</v>
      </c>
      <c r="U25">
        <v>0</v>
      </c>
    </row>
    <row r="26" spans="1:21" x14ac:dyDescent="0.25">
      <c r="A26" s="4" t="str">
        <f>$A$3&amp;"_PB_SF_DE"</f>
        <v>BXX_GEN1_DE1_PB_SF_DE</v>
      </c>
      <c r="B26" s="4" t="str">
        <f t="shared" si="1"/>
        <v>BXX_GEN1_DE1</v>
      </c>
      <c r="C26" s="4" t="str">
        <f>$C$3 &amp; " Failed To Start Dialer En"</f>
        <v>BXX Generator Failed To Start Dialer En</v>
      </c>
      <c r="D26" s="2">
        <f t="shared" si="0"/>
        <v>39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ref="O26:O31" si="4">$O$10</f>
        <v>BXX</v>
      </c>
      <c r="P26" t="s">
        <v>14</v>
      </c>
      <c r="Q26" s="4" t="str">
        <f>$A$3&amp;".PB_SF.DE"</f>
        <v>BXX_GEN1_DE1.PB_SF.DE</v>
      </c>
      <c r="R26" t="s">
        <v>14</v>
      </c>
      <c r="S26" s="4" t="str">
        <f t="shared" si="3"/>
        <v>BXX Generator Failed To Start Dialer En</v>
      </c>
      <c r="T26">
        <v>0</v>
      </c>
      <c r="U26">
        <v>0</v>
      </c>
    </row>
    <row r="27" spans="1:21" x14ac:dyDescent="0.25">
      <c r="A27" s="4" t="str">
        <f>$A$3&amp;"_PB_XF_DE"</f>
        <v>BXX_GEN1_DE1_PB_XF_DE</v>
      </c>
      <c r="B27" s="4" t="str">
        <f t="shared" si="1"/>
        <v>BXX_GEN1_DE1</v>
      </c>
      <c r="C27" s="4" t="str">
        <f>$C$3 &amp; " Failed to Stop Dialer En"</f>
        <v>BXX Generator Failed to Stop Dialer En</v>
      </c>
      <c r="D27" s="2">
        <f t="shared" si="0"/>
        <v>38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4"/>
        <v>BXX</v>
      </c>
      <c r="P27" t="s">
        <v>14</v>
      </c>
      <c r="Q27" s="4" t="str">
        <f>$A$3&amp;".PB_XF.DE"</f>
        <v>BXX_GEN1_DE1.PB_XF.DE</v>
      </c>
      <c r="R27" t="s">
        <v>14</v>
      </c>
      <c r="S27" s="4" t="str">
        <f t="shared" si="3"/>
        <v>BXX Generator Failed to Stop Dialer En</v>
      </c>
      <c r="T27">
        <v>0</v>
      </c>
      <c r="U27">
        <v>0</v>
      </c>
    </row>
    <row r="28" spans="1:21" x14ac:dyDescent="0.25">
      <c r="A28" s="4" t="str">
        <f>$A$3&amp;"_PB_RM_DE"</f>
        <v>BXX_GEN1_DE1_PB_RM_DE</v>
      </c>
      <c r="B28" s="4" t="str">
        <f t="shared" si="1"/>
        <v>BXX_GEN1_DE1</v>
      </c>
      <c r="C28" s="4" t="str">
        <f>$C$3 &amp; " Not In Auto Dialer En"</f>
        <v>BXX Generator Not In Auto Dialer En</v>
      </c>
      <c r="D28" s="2">
        <f t="shared" si="0"/>
        <v>35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4"/>
        <v>BXX</v>
      </c>
      <c r="P28" t="s">
        <v>14</v>
      </c>
      <c r="Q28" s="4" t="str">
        <f>$A$3&amp;".PB_RM.DE"</f>
        <v>BXX_GEN1_DE1.PB_RM.DE</v>
      </c>
      <c r="R28" t="s">
        <v>14</v>
      </c>
      <c r="S28" s="4" t="str">
        <f t="shared" si="3"/>
        <v>BXX Generator Not In Auto Dialer En</v>
      </c>
      <c r="T28">
        <v>0</v>
      </c>
      <c r="U28">
        <v>0</v>
      </c>
    </row>
    <row r="29" spans="1:21" x14ac:dyDescent="0.25">
      <c r="A29" s="4" t="str">
        <f>$A$3&amp;"_PB_SF_SR"</f>
        <v>BXX_GEN1_DE1_PB_SF_SR</v>
      </c>
      <c r="B29" s="4" t="str">
        <f t="shared" si="1"/>
        <v>BXX_GEN1_DE1</v>
      </c>
      <c r="C29" s="4" t="str">
        <f>$C$3 &amp; " Failed To Start Sup En"</f>
        <v>BXX Generator Failed To Start Sup En</v>
      </c>
      <c r="D29" s="2">
        <f t="shared" si="0"/>
        <v>36</v>
      </c>
      <c r="E29" t="s">
        <v>14</v>
      </c>
      <c r="F29" t="s">
        <v>13</v>
      </c>
      <c r="G29" s="5">
        <v>600</v>
      </c>
      <c r="H29" t="s">
        <v>13</v>
      </c>
      <c r="I29" t="s">
        <v>54</v>
      </c>
      <c r="J29" t="s">
        <v>60</v>
      </c>
      <c r="K29" t="s">
        <v>59</v>
      </c>
      <c r="L29" t="s">
        <v>56</v>
      </c>
      <c r="M29">
        <v>1</v>
      </c>
      <c r="N29" t="s">
        <v>57</v>
      </c>
      <c r="O29" s="4" t="str">
        <f t="shared" si="4"/>
        <v>BXX</v>
      </c>
      <c r="P29" t="s">
        <v>14</v>
      </c>
      <c r="Q29" s="4" t="str">
        <f>$A$3&amp;".PB_SF.SR"</f>
        <v>BXX_GEN1_DE1.PB_SF.SR</v>
      </c>
      <c r="R29" t="s">
        <v>14</v>
      </c>
      <c r="S29" s="4" t="str">
        <f t="shared" si="3"/>
        <v>BXX Generator Failed To Start Sup En</v>
      </c>
      <c r="T29">
        <v>0</v>
      </c>
      <c r="U29">
        <v>0</v>
      </c>
    </row>
    <row r="30" spans="1:21" x14ac:dyDescent="0.25">
      <c r="A30" s="4" t="str">
        <f>$A$3&amp;"_PB_XF_SR"</f>
        <v>BXX_GEN1_DE1_PB_XF_SR</v>
      </c>
      <c r="B30" s="4" t="str">
        <f t="shared" si="1"/>
        <v>BXX_GEN1_DE1</v>
      </c>
      <c r="C30" s="4" t="str">
        <f>$C$3 &amp; " Failed To Stop Sup En"</f>
        <v>BXX Generator Failed To Stop Sup En</v>
      </c>
      <c r="D30" s="2">
        <f t="shared" si="0"/>
        <v>35</v>
      </c>
      <c r="E30" t="s">
        <v>14</v>
      </c>
      <c r="F30" t="s">
        <v>13</v>
      </c>
      <c r="G30" s="5">
        <v>600</v>
      </c>
      <c r="H30" t="s">
        <v>13</v>
      </c>
      <c r="I30" t="s">
        <v>54</v>
      </c>
      <c r="J30" t="s">
        <v>60</v>
      </c>
      <c r="K30" t="s">
        <v>59</v>
      </c>
      <c r="L30" t="s">
        <v>56</v>
      </c>
      <c r="M30">
        <v>1</v>
      </c>
      <c r="N30" t="s">
        <v>57</v>
      </c>
      <c r="O30" s="4" t="str">
        <f t="shared" si="4"/>
        <v>BXX</v>
      </c>
      <c r="P30" t="s">
        <v>14</v>
      </c>
      <c r="Q30" s="4" t="str">
        <f>$A$3&amp;".PB_XF.SR"</f>
        <v>BXX_GEN1_DE1.PB_XF.SR</v>
      </c>
      <c r="R30" t="s">
        <v>14</v>
      </c>
      <c r="S30" s="4" t="str">
        <f t="shared" si="3"/>
        <v>BXX Generator Failed To Stop Sup En</v>
      </c>
      <c r="T30">
        <v>0</v>
      </c>
      <c r="U30">
        <v>0</v>
      </c>
    </row>
    <row r="31" spans="1:21" x14ac:dyDescent="0.25">
      <c r="A31" s="4" t="str">
        <f>$A$3&amp;"_PB_RM_SR"</f>
        <v>BXX_GEN1_DE1_PB_RM_SR</v>
      </c>
      <c r="B31" s="4" t="str">
        <f t="shared" si="1"/>
        <v>BXX_GEN1_DE1</v>
      </c>
      <c r="C31" s="4" t="str">
        <f>$C$3 &amp; " Not In Auto Sup En"</f>
        <v>BXX Generator Not In Auto Sup En</v>
      </c>
      <c r="D31" s="2">
        <f t="shared" si="0"/>
        <v>32</v>
      </c>
      <c r="E31" t="s">
        <v>14</v>
      </c>
      <c r="F31" t="s">
        <v>13</v>
      </c>
      <c r="G31" s="5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>
        <v>1</v>
      </c>
      <c r="N31" t="s">
        <v>57</v>
      </c>
      <c r="O31" s="4" t="str">
        <f t="shared" si="4"/>
        <v>BXX</v>
      </c>
      <c r="P31" t="s">
        <v>14</v>
      </c>
      <c r="Q31" s="4" t="str">
        <f>$A$3&amp;".PB_RM.SR"</f>
        <v>BXX_GEN1_DE1.PB_RM.SR</v>
      </c>
      <c r="R31" t="s">
        <v>14</v>
      </c>
      <c r="S31" s="4" t="str">
        <f t="shared" si="3"/>
        <v>BXX Generator Not In Auto Sup En</v>
      </c>
      <c r="T31">
        <v>0</v>
      </c>
      <c r="U31">
        <v>0</v>
      </c>
    </row>
    <row r="32" spans="1:21" x14ac:dyDescent="0.25">
      <c r="A32" s="4" t="str">
        <f>$A$3&amp;"_PB_ES_RE"</f>
        <v>BXX_GEN1_DE1_PB_ES_RE</v>
      </c>
      <c r="B32" s="4" t="str">
        <f t="shared" si="1"/>
        <v>BXX_GEN1_DE1</v>
      </c>
      <c r="C32" s="4" t="str">
        <f>$C$3&amp;" E-Stop Enable"</f>
        <v>BXX Generator E-Stop Enable</v>
      </c>
      <c r="D32" s="2">
        <f t="shared" si="0"/>
        <v>27</v>
      </c>
      <c r="E32" t="s">
        <v>14</v>
      </c>
      <c r="F32" t="s">
        <v>13</v>
      </c>
      <c r="G32" s="5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>
        <v>1</v>
      </c>
      <c r="N32" t="s">
        <v>57</v>
      </c>
      <c r="O32" s="4" t="str">
        <f t="shared" ref="O32:O41" si="5">$O$9</f>
        <v>BXX</v>
      </c>
      <c r="P32" t="s">
        <v>14</v>
      </c>
      <c r="Q32" s="4" t="str">
        <f>$A$3&amp;".DA_ES.RE"</f>
        <v>BXX_GEN1_DE1.DA_ES.RE</v>
      </c>
      <c r="R32" t="s">
        <v>14</v>
      </c>
      <c r="S32" s="4" t="str">
        <f t="shared" si="3"/>
        <v>BXX Generator E-Stop Enable</v>
      </c>
      <c r="T32">
        <v>0</v>
      </c>
      <c r="U32">
        <v>0</v>
      </c>
    </row>
    <row r="33" spans="1:64" x14ac:dyDescent="0.25">
      <c r="A33" s="4" t="str">
        <f>$A$3&amp;"_PB_JW_RE"</f>
        <v>BXX_GEN1_DE1_PB_JW_RE</v>
      </c>
      <c r="B33" s="4" t="str">
        <f t="shared" si="1"/>
        <v>BXX_GEN1_DE1</v>
      </c>
      <c r="C33" s="4" t="str">
        <f>$C$3&amp;" Warning Enable"</f>
        <v>BXX Generator Warning Enable</v>
      </c>
      <c r="D33" s="2">
        <f t="shared" si="0"/>
        <v>28</v>
      </c>
      <c r="E33" t="s">
        <v>14</v>
      </c>
      <c r="F33" t="s">
        <v>13</v>
      </c>
      <c r="G33" s="5">
        <v>600</v>
      </c>
      <c r="H33" t="s">
        <v>13</v>
      </c>
      <c r="I33" t="s">
        <v>54</v>
      </c>
      <c r="J33" t="s">
        <v>60</v>
      </c>
      <c r="K33" t="s">
        <v>59</v>
      </c>
      <c r="L33" t="s">
        <v>56</v>
      </c>
      <c r="M33">
        <v>1</v>
      </c>
      <c r="N33" t="s">
        <v>57</v>
      </c>
      <c r="O33" s="4" t="str">
        <f t="shared" si="5"/>
        <v>BXX</v>
      </c>
      <c r="P33" t="s">
        <v>14</v>
      </c>
      <c r="Q33" s="4" t="str">
        <f>$A$3&amp;".DA_JW.RE"</f>
        <v>BXX_GEN1_DE1.DA_JW.RE</v>
      </c>
      <c r="R33" t="s">
        <v>14</v>
      </c>
      <c r="S33" s="4" t="str">
        <f t="shared" si="3"/>
        <v>BXX Generator Warning Enable</v>
      </c>
      <c r="T33">
        <v>0</v>
      </c>
      <c r="U33">
        <v>0</v>
      </c>
    </row>
    <row r="34" spans="1:64" x14ac:dyDescent="0.25">
      <c r="A34" s="4" t="str">
        <f>$A$3&amp;"_PB_GA_RE"</f>
        <v>BXX_GEN1_DE1_PB_GA_RE</v>
      </c>
      <c r="B34" s="4" t="str">
        <f t="shared" si="1"/>
        <v>BXX_GEN1_DE1</v>
      </c>
      <c r="C34" s="4" t="str">
        <f>$C$3&amp;" Fault Enable"</f>
        <v>BXX Generator Fault Enable</v>
      </c>
      <c r="D34" s="2">
        <f t="shared" si="0"/>
        <v>26</v>
      </c>
      <c r="E34" t="s">
        <v>14</v>
      </c>
      <c r="F34" t="s">
        <v>13</v>
      </c>
      <c r="G34" s="5">
        <v>600</v>
      </c>
      <c r="H34" t="s">
        <v>13</v>
      </c>
      <c r="I34" t="s">
        <v>54</v>
      </c>
      <c r="J34" t="s">
        <v>60</v>
      </c>
      <c r="K34" t="s">
        <v>59</v>
      </c>
      <c r="L34" t="s">
        <v>56</v>
      </c>
      <c r="M34">
        <v>1</v>
      </c>
      <c r="N34" t="s">
        <v>57</v>
      </c>
      <c r="O34" s="4" t="str">
        <f t="shared" si="5"/>
        <v>BXX</v>
      </c>
      <c r="P34" t="s">
        <v>14</v>
      </c>
      <c r="Q34" s="4" t="str">
        <f>$A$3&amp;".DA_GA.RE"</f>
        <v>BXX_GEN1_DE1.DA_GA.RE</v>
      </c>
      <c r="R34" t="s">
        <v>14</v>
      </c>
      <c r="S34" s="4" t="str">
        <f t="shared" si="3"/>
        <v>BXX Generator Fault Enable</v>
      </c>
      <c r="T34">
        <v>0</v>
      </c>
      <c r="U34">
        <v>0</v>
      </c>
    </row>
    <row r="35" spans="1:64" x14ac:dyDescent="0.25">
      <c r="A35" s="4" t="str">
        <f>$A$3&amp;"_PB_ES_DE"</f>
        <v>BXX_GEN1_DE1_PB_ES_DE</v>
      </c>
      <c r="B35" s="4" t="str">
        <f t="shared" si="1"/>
        <v>BXX_GEN1_DE1</v>
      </c>
      <c r="C35" s="4" t="str">
        <f>$C$3&amp;" E-Stop Dialer Enable"</f>
        <v>BXX Generator E-Stop Dialer Enable</v>
      </c>
      <c r="D35" s="2">
        <f t="shared" si="0"/>
        <v>34</v>
      </c>
      <c r="E35" t="s">
        <v>14</v>
      </c>
      <c r="F35" t="s">
        <v>13</v>
      </c>
      <c r="G35" s="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>
        <v>1</v>
      </c>
      <c r="N35" t="s">
        <v>57</v>
      </c>
      <c r="O35" s="4" t="str">
        <f t="shared" si="5"/>
        <v>BXX</v>
      </c>
      <c r="P35" t="s">
        <v>14</v>
      </c>
      <c r="Q35" s="4" t="str">
        <f>$A$3&amp;".DA_ES.DE"</f>
        <v>BXX_GEN1_DE1.DA_ES.DE</v>
      </c>
      <c r="R35" t="s">
        <v>14</v>
      </c>
      <c r="S35" s="4" t="str">
        <f t="shared" si="3"/>
        <v>BXX Generator E-Stop Dialer Enable</v>
      </c>
      <c r="T35">
        <v>0</v>
      </c>
      <c r="U35">
        <v>0</v>
      </c>
    </row>
    <row r="36" spans="1:64" x14ac:dyDescent="0.25">
      <c r="A36" s="4" t="str">
        <f>$A$3&amp;"_PB_JW_DE"</f>
        <v>BXX_GEN1_DE1_PB_JW_DE</v>
      </c>
      <c r="B36" s="4" t="str">
        <f t="shared" si="1"/>
        <v>BXX_GEN1_DE1</v>
      </c>
      <c r="C36" s="4" t="str">
        <f>$C$3&amp;" Warning Dialer Enable"</f>
        <v>BXX Generator Warning Dialer Enable</v>
      </c>
      <c r="D36" s="2">
        <f t="shared" si="0"/>
        <v>35</v>
      </c>
      <c r="E36" t="s">
        <v>14</v>
      </c>
      <c r="F36" t="s">
        <v>13</v>
      </c>
      <c r="G36" s="5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>
        <v>1</v>
      </c>
      <c r="N36" t="s">
        <v>57</v>
      </c>
      <c r="O36" s="4" t="str">
        <f t="shared" si="5"/>
        <v>BXX</v>
      </c>
      <c r="P36" t="s">
        <v>14</v>
      </c>
      <c r="Q36" s="4" t="str">
        <f>$A$3&amp;".DA_JW.DE"</f>
        <v>BXX_GEN1_DE1.DA_JW.DE</v>
      </c>
      <c r="R36" t="s">
        <v>14</v>
      </c>
      <c r="S36" s="4" t="str">
        <f t="shared" si="3"/>
        <v>BXX Generator Warning Dialer Enable</v>
      </c>
      <c r="T36">
        <v>0</v>
      </c>
      <c r="U36">
        <v>0</v>
      </c>
    </row>
    <row r="37" spans="1:64" x14ac:dyDescent="0.25">
      <c r="A37" s="4" t="str">
        <f>$A$3&amp;"_PB_GA_DE"</f>
        <v>BXX_GEN1_DE1_PB_GA_DE</v>
      </c>
      <c r="B37" s="4" t="str">
        <f t="shared" si="1"/>
        <v>BXX_GEN1_DE1</v>
      </c>
      <c r="C37" s="4" t="str">
        <f>$C$3&amp;" Fault Dialer Enable"</f>
        <v>BXX Generator Fault Dialer Enable</v>
      </c>
      <c r="D37" s="2">
        <f t="shared" si="0"/>
        <v>33</v>
      </c>
      <c r="E37" t="s">
        <v>14</v>
      </c>
      <c r="F37" t="s">
        <v>13</v>
      </c>
      <c r="G37" s="5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>
        <v>1</v>
      </c>
      <c r="N37" t="s">
        <v>57</v>
      </c>
      <c r="O37" s="4" t="str">
        <f t="shared" si="5"/>
        <v>BXX</v>
      </c>
      <c r="P37" t="s">
        <v>14</v>
      </c>
      <c r="Q37" s="4" t="str">
        <f>$A$3&amp;".DA_GA.DE"</f>
        <v>BXX_GEN1_DE1.DA_GA.DE</v>
      </c>
      <c r="R37" t="s">
        <v>14</v>
      </c>
      <c r="S37" s="4" t="str">
        <f t="shared" si="3"/>
        <v>BXX Generator Fault Dialer Enable</v>
      </c>
      <c r="T37">
        <v>0</v>
      </c>
      <c r="U37">
        <v>0</v>
      </c>
    </row>
    <row r="38" spans="1:64" x14ac:dyDescent="0.25">
      <c r="A38" s="4" t="str">
        <f>$A$3&amp;"_PB_ES_SR"</f>
        <v>BXX_GEN1_DE1_PB_ES_SR</v>
      </c>
      <c r="B38" s="4" t="str">
        <f t="shared" si="1"/>
        <v>BXX_GEN1_DE1</v>
      </c>
      <c r="C38" s="4" t="str">
        <f>$C$3&amp;" E-Stop Sup Enable"</f>
        <v>BXX Generator E-Stop Sup Enable</v>
      </c>
      <c r="D38" s="2">
        <f t="shared" si="0"/>
        <v>31</v>
      </c>
      <c r="E38" t="s">
        <v>14</v>
      </c>
      <c r="F38" t="s">
        <v>13</v>
      </c>
      <c r="G38" s="5">
        <v>600</v>
      </c>
      <c r="H38" t="s">
        <v>13</v>
      </c>
      <c r="I38" t="s">
        <v>54</v>
      </c>
      <c r="J38" t="s">
        <v>60</v>
      </c>
      <c r="K38" t="s">
        <v>59</v>
      </c>
      <c r="L38" t="s">
        <v>56</v>
      </c>
      <c r="M38">
        <v>1</v>
      </c>
      <c r="N38" t="s">
        <v>57</v>
      </c>
      <c r="O38" s="4" t="str">
        <f t="shared" si="5"/>
        <v>BXX</v>
      </c>
      <c r="P38" t="s">
        <v>14</v>
      </c>
      <c r="Q38" s="4" t="str">
        <f>$A$3&amp;".DA_ES.SR"</f>
        <v>BXX_GEN1_DE1.DA_ES.SR</v>
      </c>
      <c r="R38" t="s">
        <v>14</v>
      </c>
      <c r="S38" s="4" t="str">
        <f t="shared" si="3"/>
        <v>BXX Generator E-Stop Sup Enable</v>
      </c>
      <c r="T38">
        <v>0</v>
      </c>
      <c r="U38">
        <v>0</v>
      </c>
    </row>
    <row r="39" spans="1:64" x14ac:dyDescent="0.25">
      <c r="A39" s="4" t="str">
        <f>$A$3&amp;"_PB_JW_SR"</f>
        <v>BXX_GEN1_DE1_PB_JW_SR</v>
      </c>
      <c r="B39" s="4" t="str">
        <f t="shared" si="1"/>
        <v>BXX_GEN1_DE1</v>
      </c>
      <c r="C39" s="4" t="str">
        <f>$C$3&amp;" Warning Sup Enable"</f>
        <v>BXX Generator Warning Sup Enable</v>
      </c>
      <c r="D39" s="2">
        <f t="shared" si="0"/>
        <v>32</v>
      </c>
      <c r="E39" t="s">
        <v>14</v>
      </c>
      <c r="F39" t="s">
        <v>13</v>
      </c>
      <c r="G39" s="5">
        <v>600</v>
      </c>
      <c r="H39" t="s">
        <v>13</v>
      </c>
      <c r="I39" t="s">
        <v>54</v>
      </c>
      <c r="J39" t="s">
        <v>60</v>
      </c>
      <c r="K39" t="s">
        <v>59</v>
      </c>
      <c r="L39" t="s">
        <v>56</v>
      </c>
      <c r="M39">
        <v>1</v>
      </c>
      <c r="N39" t="s">
        <v>57</v>
      </c>
      <c r="O39" s="4" t="str">
        <f t="shared" si="5"/>
        <v>BXX</v>
      </c>
      <c r="P39" t="s">
        <v>14</v>
      </c>
      <c r="Q39" s="4" t="str">
        <f>$A$3&amp;".DA_JW.SR"</f>
        <v>BXX_GEN1_DE1.DA_JW.SR</v>
      </c>
      <c r="R39" t="s">
        <v>14</v>
      </c>
      <c r="S39" s="4" t="str">
        <f t="shared" si="3"/>
        <v>BXX Generator Warning Sup Enable</v>
      </c>
      <c r="T39">
        <v>0</v>
      </c>
      <c r="U39">
        <v>0</v>
      </c>
    </row>
    <row r="40" spans="1:64" x14ac:dyDescent="0.25">
      <c r="A40" s="4" t="str">
        <f>$A$3&amp;"_PB_GA_SR"</f>
        <v>BXX_GEN1_DE1_PB_GA_SR</v>
      </c>
      <c r="B40" s="4" t="str">
        <f t="shared" si="1"/>
        <v>BXX_GEN1_DE1</v>
      </c>
      <c r="C40" s="4" t="str">
        <f>$C$3&amp;" Fault Sup Enable"</f>
        <v>BXX Generator Fault Sup Enable</v>
      </c>
      <c r="D40" s="2">
        <f t="shared" si="0"/>
        <v>30</v>
      </c>
      <c r="E40" t="s">
        <v>14</v>
      </c>
      <c r="F40" t="s">
        <v>13</v>
      </c>
      <c r="G40" s="5">
        <v>600</v>
      </c>
      <c r="H40" t="s">
        <v>13</v>
      </c>
      <c r="I40" t="s">
        <v>54</v>
      </c>
      <c r="J40" t="s">
        <v>60</v>
      </c>
      <c r="K40" t="s">
        <v>59</v>
      </c>
      <c r="L40" t="s">
        <v>56</v>
      </c>
      <c r="M40">
        <v>1</v>
      </c>
      <c r="N40" t="s">
        <v>57</v>
      </c>
      <c r="O40" s="4" t="str">
        <f t="shared" si="5"/>
        <v>BXX</v>
      </c>
      <c r="P40" t="s">
        <v>14</v>
      </c>
      <c r="Q40" s="4" t="str">
        <f>$A$3&amp;".DA_GA.SR"</f>
        <v>BXX_GEN1_DE1.DA_GA.SR</v>
      </c>
      <c r="R40" t="s">
        <v>14</v>
      </c>
      <c r="S40" s="4" t="str">
        <f t="shared" si="3"/>
        <v>BXX Generator Fault Sup Enable</v>
      </c>
      <c r="T40">
        <v>0</v>
      </c>
      <c r="U40">
        <v>0</v>
      </c>
    </row>
    <row r="41" spans="1:64" x14ac:dyDescent="0.25">
      <c r="A41" s="4" t="str">
        <f>$A$3&amp;"_DA_SS"</f>
        <v>BXX_GEN1_DE1_DA_SS</v>
      </c>
      <c r="B41" s="4" t="str">
        <f t="shared" si="1"/>
        <v>BXX_GEN1_DE1</v>
      </c>
      <c r="C41" s="4" t="str">
        <f>$C$3&amp;" Running Alarm"</f>
        <v>BXX Generator Running Alarm</v>
      </c>
      <c r="D41" s="2">
        <f t="shared" ref="D41" si="6">LEN(C41)</f>
        <v>27</v>
      </c>
      <c r="E41" t="s">
        <v>13</v>
      </c>
      <c r="F41" t="s">
        <v>14</v>
      </c>
      <c r="G41" s="5">
        <v>0</v>
      </c>
      <c r="H41" t="s">
        <v>13</v>
      </c>
      <c r="I41" t="s">
        <v>54</v>
      </c>
      <c r="J41" t="s">
        <v>176</v>
      </c>
      <c r="K41" t="s">
        <v>177</v>
      </c>
      <c r="L41" t="s">
        <v>61</v>
      </c>
      <c r="M41" s="5">
        <v>55</v>
      </c>
      <c r="N41" t="s">
        <v>57</v>
      </c>
      <c r="O41" s="4" t="str">
        <f t="shared" si="5"/>
        <v>BXX</v>
      </c>
      <c r="P41" t="s">
        <v>14</v>
      </c>
      <c r="Q41" s="4" t="str">
        <f>$A$3&amp;".DA_SS.eng"</f>
        <v>BXX_GEN1_DE1.DA_SS.eng</v>
      </c>
      <c r="R41" t="s">
        <v>14</v>
      </c>
      <c r="S41" s="4" t="str">
        <f t="shared" ref="S41" si="7">C41</f>
        <v>BXX Generator Running Alarm</v>
      </c>
      <c r="T41">
        <v>0</v>
      </c>
      <c r="U41">
        <v>0</v>
      </c>
    </row>
    <row r="42" spans="1:64" x14ac:dyDescent="0.25">
      <c r="A42" s="5" t="s">
        <v>70</v>
      </c>
      <c r="B42" t="s">
        <v>16</v>
      </c>
      <c r="C42" t="s">
        <v>17</v>
      </c>
      <c r="D42" s="2">
        <f t="shared" si="0"/>
        <v>7</v>
      </c>
      <c r="E42" t="s">
        <v>39</v>
      </c>
      <c r="F42" t="s">
        <v>18</v>
      </c>
      <c r="G42" t="s">
        <v>19</v>
      </c>
      <c r="H42" t="s">
        <v>40</v>
      </c>
      <c r="I42" t="s">
        <v>71</v>
      </c>
      <c r="J42" t="s">
        <v>72</v>
      </c>
      <c r="K42" t="s">
        <v>73</v>
      </c>
      <c r="L42" t="s">
        <v>74</v>
      </c>
      <c r="M42" t="s">
        <v>75</v>
      </c>
      <c r="N42" t="s">
        <v>76</v>
      </c>
      <c r="O42" t="s">
        <v>77</v>
      </c>
      <c r="P42" t="s">
        <v>78</v>
      </c>
      <c r="Q42" t="s">
        <v>79</v>
      </c>
      <c r="R42" t="s">
        <v>80</v>
      </c>
      <c r="S42" t="s">
        <v>81</v>
      </c>
      <c r="T42" t="s">
        <v>82</v>
      </c>
      <c r="U42" t="s">
        <v>83</v>
      </c>
      <c r="V42" t="s">
        <v>84</v>
      </c>
      <c r="W42" t="s">
        <v>85</v>
      </c>
      <c r="X42" t="s">
        <v>86</v>
      </c>
      <c r="Y42" t="s">
        <v>87</v>
      </c>
      <c r="Z42" t="s">
        <v>88</v>
      </c>
      <c r="AA42" t="s">
        <v>89</v>
      </c>
      <c r="AB42" t="s">
        <v>90</v>
      </c>
      <c r="AC42" t="s">
        <v>91</v>
      </c>
      <c r="AD42" t="s">
        <v>92</v>
      </c>
      <c r="AE42" t="s">
        <v>93</v>
      </c>
      <c r="AF42" t="s">
        <v>94</v>
      </c>
      <c r="AG42" t="s">
        <v>95</v>
      </c>
      <c r="AH42" t="s">
        <v>96</v>
      </c>
      <c r="AI42" t="s">
        <v>97</v>
      </c>
      <c r="AJ42" t="s">
        <v>98</v>
      </c>
      <c r="AK42" t="s">
        <v>99</v>
      </c>
      <c r="AL42" t="s">
        <v>100</v>
      </c>
      <c r="AM42" t="s">
        <v>101</v>
      </c>
      <c r="AN42" t="s">
        <v>102</v>
      </c>
      <c r="AO42" t="s">
        <v>103</v>
      </c>
      <c r="AP42" t="s">
        <v>104</v>
      </c>
      <c r="AQ42" t="s">
        <v>105</v>
      </c>
      <c r="AR42" t="s">
        <v>47</v>
      </c>
      <c r="AS42" t="s">
        <v>48</v>
      </c>
      <c r="AT42" t="s">
        <v>49</v>
      </c>
      <c r="AU42" t="s">
        <v>50</v>
      </c>
      <c r="AV42" t="s">
        <v>51</v>
      </c>
      <c r="AW42" t="s">
        <v>52</v>
      </c>
      <c r="AX42" t="s">
        <v>20</v>
      </c>
      <c r="AY42" t="s">
        <v>21</v>
      </c>
      <c r="AZ42" t="s">
        <v>22</v>
      </c>
      <c r="BA42" t="s">
        <v>23</v>
      </c>
      <c r="BB42" t="s">
        <v>24</v>
      </c>
      <c r="BC42" t="s">
        <v>25</v>
      </c>
      <c r="BD42" t="s">
        <v>26</v>
      </c>
      <c r="BE42" t="s">
        <v>28</v>
      </c>
      <c r="BF42" t="s">
        <v>29</v>
      </c>
      <c r="BG42" t="s">
        <v>30</v>
      </c>
      <c r="BH42" t="s">
        <v>31</v>
      </c>
      <c r="BI42" t="s">
        <v>32</v>
      </c>
      <c r="BJ42" t="s">
        <v>33</v>
      </c>
      <c r="BK42" t="s">
        <v>34</v>
      </c>
      <c r="BL42" t="s">
        <v>53</v>
      </c>
    </row>
    <row r="43" spans="1:64" x14ac:dyDescent="0.25">
      <c r="A43" s="4" t="str">
        <f>$A$3&amp;"_AI_RT"</f>
        <v>BXX_GEN1_DE1_AI_RT</v>
      </c>
      <c r="B43" s="4" t="str">
        <f>$A$3</f>
        <v>BXX_GEN1_DE1</v>
      </c>
      <c r="C43" s="4" t="str">
        <f>$C$3&amp;" Runtime (Hours)"</f>
        <v>BXX Generator Runtime (Hours)</v>
      </c>
      <c r="D43" s="2">
        <f t="shared" si="0"/>
        <v>29</v>
      </c>
      <c r="E43" t="s">
        <v>13</v>
      </c>
      <c r="F43" t="s">
        <v>14</v>
      </c>
      <c r="G43">
        <v>0</v>
      </c>
      <c r="H43" t="s">
        <v>13</v>
      </c>
      <c r="I43" t="s">
        <v>14</v>
      </c>
      <c r="J43">
        <v>0</v>
      </c>
      <c r="K43">
        <v>0</v>
      </c>
      <c r="L43" t="s">
        <v>193</v>
      </c>
      <c r="M43">
        <v>0</v>
      </c>
      <c r="N43">
        <v>0</v>
      </c>
      <c r="O43">
        <v>1000000</v>
      </c>
      <c r="P43">
        <v>0</v>
      </c>
      <c r="Q43">
        <v>1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>
        <v>0</v>
      </c>
      <c r="AP43">
        <v>1000000</v>
      </c>
      <c r="AQ43" t="s">
        <v>108</v>
      </c>
      <c r="AR43" s="4" t="str">
        <f>$O$9</f>
        <v>BXX</v>
      </c>
      <c r="AS43" t="s">
        <v>14</v>
      </c>
      <c r="AT43" s="4" t="str">
        <f>$A$3&amp;".AI_RT"</f>
        <v>BXX_GEN1_DE1.AI_RT</v>
      </c>
      <c r="AU43" t="s">
        <v>14</v>
      </c>
      <c r="AV43" s="4" t="str">
        <f>C43</f>
        <v>BXX Generator Runtime (Hours)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5" t="s">
        <v>123</v>
      </c>
      <c r="B44" t="s">
        <v>16</v>
      </c>
      <c r="C44" t="s">
        <v>17</v>
      </c>
      <c r="D44" s="2">
        <f t="shared" si="0"/>
        <v>7</v>
      </c>
      <c r="E44" t="s">
        <v>39</v>
      </c>
      <c r="F44" t="s">
        <v>18</v>
      </c>
      <c r="G44" t="s">
        <v>19</v>
      </c>
      <c r="H44" t="s">
        <v>40</v>
      </c>
      <c r="I44" t="s">
        <v>124</v>
      </c>
      <c r="J44" t="s">
        <v>125</v>
      </c>
      <c r="K44" t="s">
        <v>51</v>
      </c>
      <c r="L44" t="s">
        <v>53</v>
      </c>
    </row>
    <row r="45" spans="1:64" x14ac:dyDescent="0.25">
      <c r="A45" s="4" t="str">
        <f>$A$3&amp;"_DI_NM"</f>
        <v>BXX_GEN1_DE1_DI_NM</v>
      </c>
      <c r="B45" s="4" t="str">
        <f>$A$3</f>
        <v>BXX_GEN1_DE1</v>
      </c>
      <c r="C45" s="4" t="str">
        <f>$A$3</f>
        <v>BXX_GEN1_DE1</v>
      </c>
      <c r="D45" s="2">
        <f t="shared" si="0"/>
        <v>12</v>
      </c>
      <c r="E45" t="s">
        <v>14</v>
      </c>
      <c r="F45" t="s">
        <v>14</v>
      </c>
      <c r="G45">
        <v>0</v>
      </c>
      <c r="H45" t="s">
        <v>13</v>
      </c>
      <c r="I45">
        <v>24</v>
      </c>
      <c r="J45" s="4" t="str">
        <f>$A$3</f>
        <v>BXX_GEN1_DE1</v>
      </c>
      <c r="K45" s="4" t="str">
        <f>$A$3</f>
        <v>BXX_GEN1_DE1</v>
      </c>
    </row>
    <row r="46" spans="1:64" x14ac:dyDescent="0.25">
      <c r="A46" t="s">
        <v>628</v>
      </c>
      <c r="B46" t="s">
        <v>127</v>
      </c>
      <c r="C46" t="s">
        <v>288</v>
      </c>
      <c r="D46" s="2">
        <f t="shared" si="0"/>
        <v>14</v>
      </c>
      <c r="E46" t="s">
        <v>14</v>
      </c>
      <c r="F46" t="s">
        <v>14</v>
      </c>
      <c r="G46">
        <v>0</v>
      </c>
      <c r="H46" t="s">
        <v>13</v>
      </c>
      <c r="I46">
        <v>64</v>
      </c>
    </row>
    <row r="47" spans="1:64" x14ac:dyDescent="0.25">
      <c r="A47" t="s">
        <v>130</v>
      </c>
      <c r="B47" t="s">
        <v>16</v>
      </c>
      <c r="C47" t="s">
        <v>17</v>
      </c>
      <c r="D47" s="2">
        <f t="shared" si="0"/>
        <v>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47</v>
      </c>
      <c r="L47" t="s">
        <v>48</v>
      </c>
      <c r="M47" t="s">
        <v>49</v>
      </c>
      <c r="N47" t="s">
        <v>50</v>
      </c>
      <c r="O47" t="s">
        <v>51</v>
      </c>
      <c r="P47" t="s">
        <v>53</v>
      </c>
    </row>
    <row r="48" spans="1:64" x14ac:dyDescent="0.25">
      <c r="A48" s="4" t="str">
        <f>$A$3&amp;"_PB_SF_RN"</f>
        <v>BXX_GEN1_DE1_PB_SF_RN</v>
      </c>
      <c r="B48" s="4" t="str">
        <f t="shared" ref="B48:B53" si="8">$A$3</f>
        <v>BXX_GEN1_DE1</v>
      </c>
      <c r="C48" s="4" t="str">
        <f>$C$3 &amp; " Failed To Start Dis Reason"</f>
        <v>BXX Generator Failed To Start Dis Reason</v>
      </c>
      <c r="D48" s="2">
        <f t="shared" si="0"/>
        <v>40</v>
      </c>
      <c r="E48" t="s">
        <v>14</v>
      </c>
      <c r="F48" t="s">
        <v>14</v>
      </c>
      <c r="G48">
        <v>0</v>
      </c>
      <c r="H48" t="s">
        <v>13</v>
      </c>
      <c r="I48">
        <v>131</v>
      </c>
      <c r="J48" t="s">
        <v>131</v>
      </c>
      <c r="K48" s="5" t="s">
        <v>630</v>
      </c>
      <c r="L48" t="s">
        <v>13</v>
      </c>
      <c r="M48" s="4" t="str">
        <f t="shared" ref="M48:M53" si="9">A48</f>
        <v>BXX_GEN1_DE1_PB_SF_RN</v>
      </c>
      <c r="N48" t="s">
        <v>14</v>
      </c>
      <c r="O48" s="4" t="str">
        <f t="shared" ref="O48:O53" si="10">C48</f>
        <v>BXX Generator Failed To Start Dis Reason</v>
      </c>
    </row>
    <row r="49" spans="1:21" x14ac:dyDescent="0.25">
      <c r="A49" s="4" t="str">
        <f>$A$3&amp;"_PB_XF_RN"</f>
        <v>BXX_GEN1_DE1_PB_XF_RN</v>
      </c>
      <c r="B49" s="4" t="str">
        <f t="shared" si="8"/>
        <v>BXX_GEN1_DE1</v>
      </c>
      <c r="C49" s="4" t="str">
        <f>$C$3 &amp; " Failed To Stop Dis Reason"</f>
        <v>BXX Generator Failed To Stop Dis Reason</v>
      </c>
      <c r="D49" s="2">
        <f t="shared" si="0"/>
        <v>39</v>
      </c>
      <c r="E49" t="s">
        <v>14</v>
      </c>
      <c r="F49" t="s">
        <v>14</v>
      </c>
      <c r="G49">
        <v>0</v>
      </c>
      <c r="H49" t="s">
        <v>13</v>
      </c>
      <c r="I49">
        <v>131</v>
      </c>
      <c r="J49" t="s">
        <v>131</v>
      </c>
      <c r="K49" s="4" t="str">
        <f>$K$48</f>
        <v>BXXCPU01_1</v>
      </c>
      <c r="L49" t="s">
        <v>13</v>
      </c>
      <c r="M49" s="4" t="str">
        <f t="shared" si="9"/>
        <v>BXX_GEN1_DE1_PB_XF_RN</v>
      </c>
      <c r="N49" t="s">
        <v>14</v>
      </c>
      <c r="O49" s="4" t="str">
        <f t="shared" si="10"/>
        <v>BXX Generator Failed To Stop Dis Reason</v>
      </c>
    </row>
    <row r="50" spans="1:21" x14ac:dyDescent="0.25">
      <c r="A50" s="4" t="str">
        <f>$A$3&amp;"_PB_ES_RN"</f>
        <v>BXX_GEN1_DE1_PB_ES_RN</v>
      </c>
      <c r="B50" s="4" t="str">
        <f t="shared" si="8"/>
        <v>BXX_GEN1_DE1</v>
      </c>
      <c r="C50" s="4" t="str">
        <f>$C$3&amp;" E-Stop Disabled Reason"</f>
        <v>BXX Generator E-Stop Disabled Reason</v>
      </c>
      <c r="D50" s="2">
        <f t="shared" si="0"/>
        <v>36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4" t="str">
        <f t="shared" ref="K50:K53" si="11">$K$48</f>
        <v>BXXCPU01_1</v>
      </c>
      <c r="L50" t="s">
        <v>13</v>
      </c>
      <c r="M50" s="4" t="str">
        <f t="shared" si="9"/>
        <v>BXX_GEN1_DE1_PB_ES_RN</v>
      </c>
      <c r="N50" t="s">
        <v>14</v>
      </c>
      <c r="O50" s="4" t="str">
        <f t="shared" si="10"/>
        <v>BXX Generator E-Stop Disabled Reason</v>
      </c>
    </row>
    <row r="51" spans="1:21" x14ac:dyDescent="0.25">
      <c r="A51" s="4" t="str">
        <f>$A$3&amp;"_PB_JW_RN"</f>
        <v>BXX_GEN1_DE1_PB_JW_RN</v>
      </c>
      <c r="B51" s="4" t="str">
        <f t="shared" si="8"/>
        <v>BXX_GEN1_DE1</v>
      </c>
      <c r="C51" s="4" t="str">
        <f>$C$3&amp;" Warning Disabled Reason"</f>
        <v>BXX Generator Warning Disabled Reason</v>
      </c>
      <c r="D51" s="2">
        <f t="shared" si="0"/>
        <v>37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4" t="str">
        <f t="shared" si="11"/>
        <v>BXXCPU01_1</v>
      </c>
      <c r="L51" t="s">
        <v>13</v>
      </c>
      <c r="M51" s="4" t="str">
        <f t="shared" si="9"/>
        <v>BXX_GEN1_DE1_PB_JW_RN</v>
      </c>
      <c r="N51" t="s">
        <v>14</v>
      </c>
      <c r="O51" s="4" t="str">
        <f t="shared" si="10"/>
        <v>BXX Generator Warning Disabled Reason</v>
      </c>
    </row>
    <row r="52" spans="1:21" x14ac:dyDescent="0.25">
      <c r="A52" s="4" t="str">
        <f>$A$3&amp;"_PB_GA_RN"</f>
        <v>BXX_GEN1_DE1_PB_GA_RN</v>
      </c>
      <c r="B52" s="4" t="str">
        <f t="shared" si="8"/>
        <v>BXX_GEN1_DE1</v>
      </c>
      <c r="C52" s="4" t="str">
        <f>$C$3&amp;" Fault Disabled Reason"</f>
        <v>BXX Generator Fault Disabled Reason</v>
      </c>
      <c r="D52" s="2">
        <f t="shared" si="0"/>
        <v>35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4" t="str">
        <f t="shared" si="11"/>
        <v>BXXCPU01_1</v>
      </c>
      <c r="L52" t="s">
        <v>13</v>
      </c>
      <c r="M52" s="4" t="str">
        <f t="shared" si="9"/>
        <v>BXX_GEN1_DE1_PB_GA_RN</v>
      </c>
      <c r="N52" t="s">
        <v>14</v>
      </c>
      <c r="O52" s="4" t="str">
        <f t="shared" si="10"/>
        <v>BXX Generator Fault Disabled Reason</v>
      </c>
    </row>
    <row r="53" spans="1:21" x14ac:dyDescent="0.25">
      <c r="A53" s="4" t="str">
        <f>$A$3&amp;"_PB_RM_RN"</f>
        <v>BXX_GEN1_DE1_PB_RM_RN</v>
      </c>
      <c r="B53" s="4" t="str">
        <f t="shared" si="8"/>
        <v>BXX_GEN1_DE1</v>
      </c>
      <c r="C53" s="4" t="str">
        <f>$C$3 &amp; " Not In Auto Disabled Reason"</f>
        <v>BXX Generator Not In Auto Disabled Reason</v>
      </c>
      <c r="D53" s="2">
        <f t="shared" si="0"/>
        <v>41</v>
      </c>
      <c r="E53" t="s">
        <v>14</v>
      </c>
      <c r="F53" t="s">
        <v>14</v>
      </c>
      <c r="G53" s="5">
        <v>0</v>
      </c>
      <c r="H53" t="s">
        <v>13</v>
      </c>
      <c r="I53">
        <v>131</v>
      </c>
      <c r="J53" t="s">
        <v>131</v>
      </c>
      <c r="K53" s="4" t="str">
        <f t="shared" si="11"/>
        <v>BXXCPU01_1</v>
      </c>
      <c r="L53" t="s">
        <v>13</v>
      </c>
      <c r="M53" s="4" t="str">
        <f t="shared" si="9"/>
        <v>BXX_GEN1_DE1_PB_RM_RN</v>
      </c>
      <c r="N53" t="s">
        <v>14</v>
      </c>
      <c r="O53" s="4" t="str">
        <f t="shared" si="10"/>
        <v>BXX Generator Not In Auto Disabled Reason</v>
      </c>
      <c r="P53" s="5"/>
      <c r="Q53" s="5"/>
      <c r="R53" s="5"/>
      <c r="S53" s="5"/>
      <c r="T53" s="5"/>
      <c r="U53" s="5"/>
    </row>
    <row r="54" spans="1:21" x14ac:dyDescent="0.25">
      <c r="A54" t="s">
        <v>560</v>
      </c>
      <c r="B54" t="s">
        <v>16</v>
      </c>
      <c r="C54" t="s">
        <v>17</v>
      </c>
      <c r="D54" s="2">
        <f t="shared" si="0"/>
        <v>7</v>
      </c>
      <c r="E54" t="s">
        <v>18</v>
      </c>
      <c r="F54" t="s">
        <v>19</v>
      </c>
      <c r="G54" t="s">
        <v>40</v>
      </c>
      <c r="H54" t="s">
        <v>53</v>
      </c>
    </row>
    <row r="55" spans="1:21" x14ac:dyDescent="0.25">
      <c r="A55" t="s">
        <v>442</v>
      </c>
      <c r="B55" t="s">
        <v>127</v>
      </c>
      <c r="C55" t="s">
        <v>289</v>
      </c>
      <c r="D55" s="2">
        <f t="shared" si="0"/>
        <v>30</v>
      </c>
      <c r="E55" t="s">
        <v>14</v>
      </c>
      <c r="F55">
        <v>0</v>
      </c>
      <c r="G55" t="s">
        <v>14</v>
      </c>
    </row>
    <row r="56" spans="1:21" x14ac:dyDescent="0.25">
      <c r="A56" t="s">
        <v>443</v>
      </c>
      <c r="B56" t="s">
        <v>127</v>
      </c>
      <c r="C56" t="s">
        <v>290</v>
      </c>
      <c r="D56" s="2">
        <f t="shared" si="0"/>
        <v>35</v>
      </c>
      <c r="E56" t="s">
        <v>14</v>
      </c>
      <c r="F56">
        <v>0</v>
      </c>
      <c r="G56" t="s">
        <v>14</v>
      </c>
    </row>
    <row r="57" spans="1:21" x14ac:dyDescent="0.25">
      <c r="A57" t="s">
        <v>444</v>
      </c>
      <c r="B57" t="s">
        <v>127</v>
      </c>
      <c r="C57" t="s">
        <v>291</v>
      </c>
      <c r="D57" s="2">
        <f t="shared" si="0"/>
        <v>30</v>
      </c>
      <c r="E57" t="s">
        <v>14</v>
      </c>
      <c r="F57">
        <v>0</v>
      </c>
      <c r="G57" t="s">
        <v>14</v>
      </c>
    </row>
    <row r="58" spans="1:21" x14ac:dyDescent="0.25">
      <c r="A58" t="s">
        <v>480</v>
      </c>
      <c r="B58" t="s">
        <v>127</v>
      </c>
      <c r="C58" t="s">
        <v>292</v>
      </c>
      <c r="D58" s="2">
        <f t="shared" si="0"/>
        <v>39</v>
      </c>
      <c r="E58" t="s">
        <v>14</v>
      </c>
      <c r="F58">
        <v>0</v>
      </c>
      <c r="G58" t="s">
        <v>14</v>
      </c>
    </row>
    <row r="59" spans="1:21" x14ac:dyDescent="0.25">
      <c r="A59" t="s">
        <v>481</v>
      </c>
      <c r="B59" t="s">
        <v>127</v>
      </c>
      <c r="C59" t="s">
        <v>293</v>
      </c>
      <c r="D59" s="2">
        <f t="shared" si="0"/>
        <v>34</v>
      </c>
      <c r="E59" t="s">
        <v>14</v>
      </c>
      <c r="F59">
        <v>0</v>
      </c>
      <c r="G59" t="s">
        <v>14</v>
      </c>
    </row>
    <row r="60" spans="1:21" x14ac:dyDescent="0.25">
      <c r="A60" t="s">
        <v>482</v>
      </c>
      <c r="B60" t="s">
        <v>127</v>
      </c>
      <c r="C60" t="s">
        <v>294</v>
      </c>
      <c r="D60" s="2">
        <f t="shared" si="0"/>
        <v>44</v>
      </c>
      <c r="E60" t="s">
        <v>14</v>
      </c>
      <c r="F60">
        <v>0</v>
      </c>
      <c r="G60" t="s">
        <v>14</v>
      </c>
    </row>
    <row r="61" spans="1:21" x14ac:dyDescent="0.25">
      <c r="A61" t="s">
        <v>483</v>
      </c>
      <c r="B61" t="s">
        <v>127</v>
      </c>
      <c r="C61" t="s">
        <v>295</v>
      </c>
      <c r="D61" s="2">
        <f t="shared" si="0"/>
        <v>36</v>
      </c>
      <c r="E61" t="s">
        <v>14</v>
      </c>
      <c r="F61">
        <v>0</v>
      </c>
      <c r="G61" t="s">
        <v>14</v>
      </c>
    </row>
    <row r="62" spans="1:21" x14ac:dyDescent="0.25">
      <c r="A62" t="s">
        <v>484</v>
      </c>
      <c r="B62" t="s">
        <v>127</v>
      </c>
      <c r="C62" t="s">
        <v>296</v>
      </c>
      <c r="D62" s="2">
        <f t="shared" si="0"/>
        <v>46</v>
      </c>
      <c r="E62" t="s">
        <v>14</v>
      </c>
      <c r="F62">
        <v>0</v>
      </c>
      <c r="G62" t="s">
        <v>14</v>
      </c>
    </row>
    <row r="63" spans="1:21" x14ac:dyDescent="0.25">
      <c r="A63" t="s">
        <v>485</v>
      </c>
      <c r="B63" t="s">
        <v>127</v>
      </c>
      <c r="C63" t="s">
        <v>297</v>
      </c>
      <c r="D63" s="2">
        <f t="shared" ref="D63:D70" si="12">LEN(C63)</f>
        <v>41</v>
      </c>
      <c r="E63" t="s">
        <v>14</v>
      </c>
      <c r="F63">
        <v>0</v>
      </c>
      <c r="G63" t="s">
        <v>14</v>
      </c>
    </row>
    <row r="64" spans="1:21" x14ac:dyDescent="0.25">
      <c r="A64" t="s">
        <v>486</v>
      </c>
      <c r="B64" t="s">
        <v>127</v>
      </c>
      <c r="C64" t="s">
        <v>298</v>
      </c>
      <c r="D64" s="2">
        <f t="shared" si="12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561</v>
      </c>
      <c r="B65" t="s">
        <v>16</v>
      </c>
      <c r="C65" t="s">
        <v>17</v>
      </c>
      <c r="D65" s="2">
        <f t="shared" si="12"/>
        <v>7</v>
      </c>
      <c r="E65" t="s">
        <v>18</v>
      </c>
      <c r="F65" t="s">
        <v>19</v>
      </c>
      <c r="G65" t="s">
        <v>40</v>
      </c>
      <c r="H65" t="s">
        <v>53</v>
      </c>
    </row>
    <row r="66" spans="1:8" x14ac:dyDescent="0.25">
      <c r="A66" t="s">
        <v>558</v>
      </c>
      <c r="B66" t="s">
        <v>127</v>
      </c>
      <c r="C66" t="s">
        <v>299</v>
      </c>
      <c r="D66" s="2">
        <f t="shared" si="12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165</v>
      </c>
      <c r="B67" t="s">
        <v>16</v>
      </c>
      <c r="C67" t="s">
        <v>17</v>
      </c>
      <c r="D67" s="2">
        <f t="shared" si="12"/>
        <v>7</v>
      </c>
      <c r="E67" t="s">
        <v>53</v>
      </c>
    </row>
    <row r="68" spans="1:8" x14ac:dyDescent="0.25">
      <c r="A68" t="s">
        <v>627</v>
      </c>
      <c r="B68" t="s">
        <v>127</v>
      </c>
      <c r="C68" t="s">
        <v>300</v>
      </c>
      <c r="D68" s="2">
        <f t="shared" si="12"/>
        <v>23</v>
      </c>
    </row>
    <row r="69" spans="1:8" x14ac:dyDescent="0.25">
      <c r="A69" t="s">
        <v>559</v>
      </c>
      <c r="B69" t="s">
        <v>16</v>
      </c>
      <c r="C69" t="s">
        <v>17</v>
      </c>
      <c r="D69" s="2">
        <f t="shared" si="12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301</v>
      </c>
      <c r="B70" t="s">
        <v>127</v>
      </c>
      <c r="C70" t="s">
        <v>302</v>
      </c>
      <c r="D70" s="2">
        <f t="shared" si="12"/>
        <v>35</v>
      </c>
      <c r="E70" t="s">
        <v>14</v>
      </c>
      <c r="F70">
        <v>0</v>
      </c>
      <c r="G70" t="s">
        <v>14</v>
      </c>
    </row>
  </sheetData>
  <conditionalFormatting sqref="D3:D40 D54:D70 D42:D52">
    <cfRule type="cellIs" dxfId="28" priority="3" operator="greaterThan">
      <formula>49</formula>
    </cfRule>
  </conditionalFormatting>
  <conditionalFormatting sqref="D53">
    <cfRule type="cellIs" dxfId="27" priority="2" operator="greaterThan">
      <formula>49</formula>
    </cfRule>
  </conditionalFormatting>
  <conditionalFormatting sqref="D41">
    <cfRule type="cellIs" dxfId="26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8"/>
  <sheetViews>
    <sheetView view="pageBreakPreview" topLeftCell="A19" zoomScaleNormal="100" zoomScaleSheetLayoutView="100" workbookViewId="0">
      <selection activeCell="K33" sqref="K33"/>
    </sheetView>
  </sheetViews>
  <sheetFormatPr defaultRowHeight="15" x14ac:dyDescent="0.25"/>
  <cols>
    <col min="1" max="1" width="24.85546875" bestFit="1" customWidth="1"/>
    <col min="2" max="2" width="14.5703125" bestFit="1" customWidth="1"/>
    <col min="3" max="3" width="47.710937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28515625" bestFit="1" customWidth="1"/>
    <col min="11" max="12" width="18.28515625" bestFit="1" customWidth="1"/>
    <col min="13" max="13" width="22.28515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28515625" bestFit="1" customWidth="1"/>
    <col min="18" max="18" width="16.28515625" bestFit="1" customWidth="1"/>
    <col min="19" max="19" width="41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71093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19.28515625" bestFit="1" customWidth="1"/>
    <col min="47" max="47" width="18.28515625" bestFit="1" customWidth="1"/>
    <col min="48" max="48" width="34.710937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557</v>
      </c>
      <c r="B3" s="4" t="str">
        <f>BXXGEN1DE1!A3</f>
        <v>BXX_GEN1_DE1</v>
      </c>
      <c r="C3" s="3" t="s">
        <v>303</v>
      </c>
      <c r="D3" s="2">
        <f>LEN(C3)</f>
        <v>7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5" t="s">
        <v>425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BXX_ATS1_SG1_DI_AD</v>
      </c>
      <c r="B6" s="4" t="str">
        <f>A4</f>
        <v>BXX_DSAB</v>
      </c>
      <c r="C6" s="4" t="str">
        <f>$C$3 &amp; " Disabled Alarm"</f>
        <v>BXX ATS Disabled Alarm</v>
      </c>
      <c r="D6" s="2">
        <f>LEN(C6)</f>
        <v>22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BXX_ATS1_SG1.DI_AD</v>
      </c>
      <c r="R6" t="s">
        <v>14</v>
      </c>
      <c r="S6" s="4" t="str">
        <f>C6</f>
        <v>BXX ATS Disabled Alarm</v>
      </c>
      <c r="T6">
        <v>0</v>
      </c>
      <c r="U6">
        <v>0</v>
      </c>
    </row>
    <row r="7" spans="1:23" x14ac:dyDescent="0.25">
      <c r="A7" s="4" t="str">
        <f>$A$3&amp;"_DI_CL"</f>
        <v>BXX_ATS1_SG1_DI_CL</v>
      </c>
      <c r="B7" s="4" t="str">
        <f>$A$3</f>
        <v>BXX_ATS1_SG1</v>
      </c>
      <c r="C7" s="4" t="str">
        <f>$C$3&amp;" Control Mode"</f>
        <v>BXX ATS Control Mode</v>
      </c>
      <c r="D7" s="2">
        <f t="shared" ref="D7:D31" si="0">LEN(C7)</f>
        <v>20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175</v>
      </c>
      <c r="K7" t="s">
        <v>66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$A$3&amp;".DI_CL.eng"</f>
        <v>BXX_ATS1_SG1.DI_CL.eng</v>
      </c>
      <c r="R7" t="s">
        <v>14</v>
      </c>
      <c r="S7" s="4" t="str">
        <f>C7</f>
        <v>BXX ATS Control Mode</v>
      </c>
      <c r="T7">
        <v>0</v>
      </c>
      <c r="U7">
        <v>0</v>
      </c>
    </row>
    <row r="8" spans="1:23" x14ac:dyDescent="0.25">
      <c r="A8" s="4" t="str">
        <f>$A$3&amp;"_DI_JN"</f>
        <v>BXX_ATS1_SG1_DI_JN</v>
      </c>
      <c r="B8" s="4" t="str">
        <f t="shared" ref="B8:B26" si="1">$A$3</f>
        <v>BXX_ATS1_SG1</v>
      </c>
      <c r="C8" s="4" t="str">
        <f>$C$3&amp;" Normal Power"</f>
        <v>BXX ATS Normal Power</v>
      </c>
      <c r="D8" s="2">
        <f t="shared" si="0"/>
        <v>20</v>
      </c>
      <c r="E8" t="s">
        <v>14</v>
      </c>
      <c r="F8" t="s">
        <v>13</v>
      </c>
      <c r="G8" s="5">
        <v>700</v>
      </c>
      <c r="H8" t="s">
        <v>13</v>
      </c>
      <c r="I8" t="s">
        <v>54</v>
      </c>
      <c r="J8" t="s">
        <v>54</v>
      </c>
      <c r="K8" t="s">
        <v>61</v>
      </c>
      <c r="L8" t="s">
        <v>56</v>
      </c>
      <c r="M8">
        <v>1</v>
      </c>
      <c r="N8" t="s">
        <v>57</v>
      </c>
      <c r="O8" s="4" t="str">
        <f t="shared" ref="O8:O19" si="2">$O$6</f>
        <v>BXX</v>
      </c>
      <c r="P8" t="s">
        <v>14</v>
      </c>
      <c r="Q8" s="4" t="str">
        <f>$A$3&amp;".DI_JN.eng"</f>
        <v>BXX_ATS1_SG1.DI_JN.eng</v>
      </c>
      <c r="R8" t="s">
        <v>14</v>
      </c>
      <c r="S8" s="4" t="str">
        <f t="shared" ref="S8:S26" si="3">C8</f>
        <v>BXX ATS Normal Power</v>
      </c>
      <c r="T8">
        <v>0</v>
      </c>
      <c r="U8">
        <v>0</v>
      </c>
    </row>
    <row r="9" spans="1:23" x14ac:dyDescent="0.25">
      <c r="A9" s="4" t="str">
        <f>$A$3&amp;"_DA_JE"</f>
        <v>BXX_ATS1_SG1_DA_JE</v>
      </c>
      <c r="B9" s="4" t="str">
        <f t="shared" si="1"/>
        <v>BXX_ATS1_SG1</v>
      </c>
      <c r="C9" s="4" t="str">
        <f>$C$3&amp;" On Emergency Power"</f>
        <v>BXX ATS On Emergency Power</v>
      </c>
      <c r="D9" s="2">
        <f t="shared" si="0"/>
        <v>26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62</v>
      </c>
      <c r="K9" t="s">
        <v>119</v>
      </c>
      <c r="L9" t="s">
        <v>61</v>
      </c>
      <c r="M9" s="5">
        <v>20</v>
      </c>
      <c r="N9" t="s">
        <v>57</v>
      </c>
      <c r="O9" s="4" t="str">
        <f t="shared" si="2"/>
        <v>BXX</v>
      </c>
      <c r="P9" t="s">
        <v>14</v>
      </c>
      <c r="Q9" s="4" t="str">
        <f>$A$3&amp;".DA_JE.eng"</f>
        <v>BXX_ATS1_SG1.DA_JE.eng</v>
      </c>
      <c r="R9" t="s">
        <v>14</v>
      </c>
      <c r="S9" s="4" t="str">
        <f t="shared" si="3"/>
        <v>BXX ATS On Emergency Power</v>
      </c>
      <c r="T9">
        <v>0</v>
      </c>
      <c r="U9">
        <v>0</v>
      </c>
    </row>
    <row r="10" spans="1:23" x14ac:dyDescent="0.25">
      <c r="A10" s="4" t="str">
        <f>$A$3&amp;"_PB_AR"</f>
        <v>BXX_ATS1_SG1_PB_AR</v>
      </c>
      <c r="B10" s="4" t="str">
        <f t="shared" si="1"/>
        <v>BXX_ATS1_SG1</v>
      </c>
      <c r="C10" s="4" t="str">
        <f>$C$3&amp;" Alarm Ack"</f>
        <v>BXX ATS Alarm Ack</v>
      </c>
      <c r="D10" s="2">
        <f t="shared" si="0"/>
        <v>17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62</v>
      </c>
      <c r="K10" t="s">
        <v>183</v>
      </c>
      <c r="L10" t="s">
        <v>56</v>
      </c>
      <c r="M10">
        <v>1</v>
      </c>
      <c r="N10" t="s">
        <v>57</v>
      </c>
      <c r="O10" s="4" t="str">
        <f t="shared" si="2"/>
        <v>BXX</v>
      </c>
      <c r="P10" t="s">
        <v>14</v>
      </c>
      <c r="Q10" s="4" t="str">
        <f>$A$3&amp;".PB_AR"</f>
        <v>BXX_ATS1_SG1.PB_AR</v>
      </c>
      <c r="R10" t="s">
        <v>14</v>
      </c>
      <c r="S10" s="4" t="str">
        <f t="shared" si="3"/>
        <v>BXX ATS Alarm Ack</v>
      </c>
      <c r="T10">
        <v>0</v>
      </c>
      <c r="U10">
        <v>0</v>
      </c>
    </row>
    <row r="11" spans="1:23" x14ac:dyDescent="0.25">
      <c r="A11" s="4" t="str">
        <f>$A$3&amp;"_PB_RT"</f>
        <v>BXX_ATS1_SG1_PB_RT</v>
      </c>
      <c r="B11" s="4" t="str">
        <f t="shared" si="1"/>
        <v>BXX_ATS1_SG1</v>
      </c>
      <c r="C11" s="4" t="str">
        <f>$C$3&amp;" Runtime Reset"</f>
        <v>BXX ATS Runtime Reset</v>
      </c>
      <c r="D11" s="2">
        <f t="shared" si="0"/>
        <v>21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62</v>
      </c>
      <c r="K11" t="s">
        <v>184</v>
      </c>
      <c r="L11" t="s">
        <v>56</v>
      </c>
      <c r="M11">
        <v>1</v>
      </c>
      <c r="N11" t="s">
        <v>57</v>
      </c>
      <c r="O11" s="4" t="str">
        <f t="shared" si="2"/>
        <v>BXX</v>
      </c>
      <c r="P11" t="s">
        <v>14</v>
      </c>
      <c r="Q11" s="4" t="str">
        <f>$A$3&amp;".PB_RT"</f>
        <v>BXX_ATS1_SG1.PB_RT</v>
      </c>
      <c r="R11" t="s">
        <v>14</v>
      </c>
      <c r="S11" s="4" t="str">
        <f t="shared" si="3"/>
        <v>BXX ATS Runtime Reset</v>
      </c>
      <c r="T11">
        <v>0</v>
      </c>
      <c r="U11">
        <v>0</v>
      </c>
    </row>
    <row r="12" spans="1:23" x14ac:dyDescent="0.25">
      <c r="A12" s="4" t="str">
        <f>$A$3&amp;"_PB_PO"</f>
        <v>BXX_ATS1_SG1_PB_PO</v>
      </c>
      <c r="B12" s="4" t="str">
        <f t="shared" si="1"/>
        <v>BXX_ATS1_SG1</v>
      </c>
      <c r="C12" s="4" t="str">
        <f>$C$3&amp;" Start Test Request"</f>
        <v>BXX ATS Start Test Request</v>
      </c>
      <c r="D12" s="2">
        <f t="shared" si="0"/>
        <v>26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62</v>
      </c>
      <c r="K12" t="s">
        <v>181</v>
      </c>
      <c r="L12" t="s">
        <v>56</v>
      </c>
      <c r="M12">
        <v>1</v>
      </c>
      <c r="N12" t="s">
        <v>57</v>
      </c>
      <c r="O12" s="4" t="str">
        <f>$O$7</f>
        <v>BXX</v>
      </c>
      <c r="P12" t="s">
        <v>14</v>
      </c>
      <c r="Q12" s="4" t="str">
        <f>$A$3&amp;".PB_PO"</f>
        <v>BXX_ATS1_SG1.PB_PO</v>
      </c>
      <c r="R12" t="s">
        <v>14</v>
      </c>
      <c r="S12" s="4" t="str">
        <f t="shared" si="3"/>
        <v>BXX ATS Start Test Request</v>
      </c>
      <c r="T12">
        <v>0</v>
      </c>
      <c r="U12">
        <v>0</v>
      </c>
    </row>
    <row r="13" spans="1:23" x14ac:dyDescent="0.25">
      <c r="A13" s="4" t="str">
        <f>$A$3&amp;"_PB_PC"</f>
        <v>BXX_ATS1_SG1_PB_PC</v>
      </c>
      <c r="B13" s="4" t="str">
        <f t="shared" si="1"/>
        <v>BXX_ATS1_SG1</v>
      </c>
      <c r="C13" s="4" t="str">
        <f>$C$3&amp;" Stop Test Request"</f>
        <v>BXX ATS Stop Test Request</v>
      </c>
      <c r="D13" s="2">
        <f t="shared" si="0"/>
        <v>25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62</v>
      </c>
      <c r="K13" t="s">
        <v>182</v>
      </c>
      <c r="L13" t="s">
        <v>56</v>
      </c>
      <c r="M13">
        <v>1</v>
      </c>
      <c r="N13" t="s">
        <v>57</v>
      </c>
      <c r="O13" s="4" t="str">
        <f>$O$7</f>
        <v>BXX</v>
      </c>
      <c r="P13" t="s">
        <v>14</v>
      </c>
      <c r="Q13" s="4" t="str">
        <f>$A$3&amp;".PB_PC"</f>
        <v>BXX_ATS1_SG1.PB_PC</v>
      </c>
      <c r="R13" t="s">
        <v>14</v>
      </c>
      <c r="S13" s="4" t="str">
        <f t="shared" si="3"/>
        <v>BXX ATS Stop Test Request</v>
      </c>
      <c r="T13">
        <v>0</v>
      </c>
      <c r="U13">
        <v>0</v>
      </c>
    </row>
    <row r="14" spans="1:23" x14ac:dyDescent="0.25">
      <c r="A14" s="4" t="str">
        <f>$A$3&amp;"_DA_JR"</f>
        <v>BXX_ATS1_SG1_DA_JR</v>
      </c>
      <c r="B14" s="4" t="str">
        <f t="shared" si="1"/>
        <v>BXX_ATS1_SG1</v>
      </c>
      <c r="C14" s="4" t="str">
        <f>$C$3&amp;" Failed To Transfer"</f>
        <v>BXX ATS Failed To Transfer</v>
      </c>
      <c r="D14" s="2">
        <f t="shared" si="0"/>
        <v>26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51</v>
      </c>
      <c r="N14" t="s">
        <v>57</v>
      </c>
      <c r="O14" s="4" t="str">
        <f t="shared" si="2"/>
        <v>BXX</v>
      </c>
      <c r="P14" t="s">
        <v>14</v>
      </c>
      <c r="Q14" s="4" t="str">
        <f>$A$3&amp;".DA_SF"</f>
        <v>BXX_ATS1_SG1.DA_SF</v>
      </c>
      <c r="R14" t="s">
        <v>14</v>
      </c>
      <c r="S14" s="4" t="str">
        <f t="shared" si="3"/>
        <v>BXX ATS Failed To Transfer</v>
      </c>
      <c r="T14">
        <v>0</v>
      </c>
      <c r="U14">
        <v>0</v>
      </c>
    </row>
    <row r="15" spans="1:23" x14ac:dyDescent="0.25">
      <c r="A15" s="4" t="str">
        <f>$A$3&amp;"_DA_RM"</f>
        <v>BXX_ATS1_SG1_DA_RM</v>
      </c>
      <c r="B15" s="4" t="str">
        <f t="shared" si="1"/>
        <v>BXX_ATS1_SG1</v>
      </c>
      <c r="C15" s="4" t="str">
        <f>$C$3&amp;" Not in Auto"</f>
        <v>BXX ATS Not in Auto</v>
      </c>
      <c r="D15" s="2">
        <f t="shared" si="0"/>
        <v>19</v>
      </c>
      <c r="E15" t="s">
        <v>14</v>
      </c>
      <c r="F15" t="s">
        <v>14</v>
      </c>
      <c r="G15">
        <v>0</v>
      </c>
      <c r="H15" t="s">
        <v>13</v>
      </c>
      <c r="I15" t="s">
        <v>54</v>
      </c>
      <c r="J15" t="s">
        <v>62</v>
      </c>
      <c r="K15" t="s">
        <v>119</v>
      </c>
      <c r="L15" t="s">
        <v>61</v>
      </c>
      <c r="M15" s="5">
        <v>49</v>
      </c>
      <c r="N15" t="s">
        <v>57</v>
      </c>
      <c r="O15" s="4" t="str">
        <f t="shared" si="2"/>
        <v>BXX</v>
      </c>
      <c r="P15" t="s">
        <v>14</v>
      </c>
      <c r="Q15" s="4" t="str">
        <f>$A$3&amp;".DA_RM"</f>
        <v>BXX_ATS1_SG1.DA_RM</v>
      </c>
      <c r="R15" t="s">
        <v>14</v>
      </c>
      <c r="S15" s="4" t="str">
        <f t="shared" si="3"/>
        <v>BXX ATS Not in Auto</v>
      </c>
      <c r="T15">
        <v>0</v>
      </c>
      <c r="U15">
        <v>0</v>
      </c>
    </row>
    <row r="16" spans="1:23" x14ac:dyDescent="0.25">
      <c r="A16" s="4" t="str">
        <f>$A$3&amp;"_PB_JR"</f>
        <v>BXX_ATS1_SG1_PB_JR</v>
      </c>
      <c r="B16" s="4" t="str">
        <f t="shared" si="1"/>
        <v>BXX_ATS1_SG1</v>
      </c>
      <c r="C16" s="4" t="str">
        <f>$C$3&amp;" Failed To Xfer En"</f>
        <v>BXX ATS Failed To Xfer En</v>
      </c>
      <c r="D16" s="2">
        <f t="shared" si="0"/>
        <v>25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 s="5">
        <v>1</v>
      </c>
      <c r="N16" t="s">
        <v>57</v>
      </c>
      <c r="O16" s="4" t="str">
        <f t="shared" si="2"/>
        <v>BXX</v>
      </c>
      <c r="P16" t="s">
        <v>14</v>
      </c>
      <c r="Q16" s="4" t="str">
        <f>$A$3&amp;".PB_JR.RE"</f>
        <v>BXX_ATS1_SG1.PB_JR.RE</v>
      </c>
      <c r="R16" t="s">
        <v>14</v>
      </c>
      <c r="S16" s="4" t="str">
        <f t="shared" si="3"/>
        <v>BXX ATS Failed To Xfer En</v>
      </c>
      <c r="T16">
        <v>0</v>
      </c>
      <c r="U16">
        <v>0</v>
      </c>
    </row>
    <row r="17" spans="1:64" x14ac:dyDescent="0.25">
      <c r="A17" s="4" t="str">
        <f>$A$3&amp;"_PB_RM"</f>
        <v>BXX_ATS1_SG1_PB_RM</v>
      </c>
      <c r="B17" s="4" t="str">
        <f t="shared" si="1"/>
        <v>BXX_ATS1_SG1</v>
      </c>
      <c r="C17" s="4" t="str">
        <f>$C$3&amp;" Not in Auto Alarm En"</f>
        <v>BXX ATS Not in Auto Alarm En</v>
      </c>
      <c r="D17" s="2">
        <f t="shared" si="0"/>
        <v>28</v>
      </c>
      <c r="E17" t="s">
        <v>14</v>
      </c>
      <c r="F17" t="s">
        <v>14</v>
      </c>
      <c r="G17">
        <v>0</v>
      </c>
      <c r="H17" t="s">
        <v>13</v>
      </c>
      <c r="I17" t="s">
        <v>54</v>
      </c>
      <c r="J17" t="s">
        <v>60</v>
      </c>
      <c r="K17" t="s">
        <v>59</v>
      </c>
      <c r="L17" t="s">
        <v>56</v>
      </c>
      <c r="M17" s="5">
        <v>1</v>
      </c>
      <c r="N17" t="s">
        <v>57</v>
      </c>
      <c r="O17" s="4" t="str">
        <f t="shared" si="2"/>
        <v>BXX</v>
      </c>
      <c r="P17" t="s">
        <v>14</v>
      </c>
      <c r="Q17" s="4" t="str">
        <f>$A$3&amp;".PB_RM.RE"</f>
        <v>BXX_ATS1_SG1.PB_RM.RE</v>
      </c>
      <c r="R17" t="s">
        <v>14</v>
      </c>
      <c r="S17" s="4" t="str">
        <f t="shared" si="3"/>
        <v>BXX ATS Not in Auto Alarm En</v>
      </c>
      <c r="T17">
        <v>0</v>
      </c>
      <c r="U17">
        <v>0</v>
      </c>
    </row>
    <row r="18" spans="1:64" x14ac:dyDescent="0.25">
      <c r="A18" s="4" t="str">
        <f>$A$3&amp;"_PB_SM"</f>
        <v>BXX_ATS1_SG1_PB_SM</v>
      </c>
      <c r="B18" s="4" t="str">
        <f t="shared" si="1"/>
        <v>BXX_ATS1_SG1</v>
      </c>
      <c r="C18" s="4" t="str">
        <f>$C$3&amp;" Simulate Alarms PB"</f>
        <v>BXX ATS Simulate Alarms PB</v>
      </c>
      <c r="D18" s="2">
        <f t="shared" si="0"/>
        <v>26</v>
      </c>
      <c r="E18" t="s">
        <v>14</v>
      </c>
      <c r="F18" t="s">
        <v>13</v>
      </c>
      <c r="G18" s="5">
        <v>600</v>
      </c>
      <c r="H18" t="s">
        <v>13</v>
      </c>
      <c r="I18" t="s">
        <v>54</v>
      </c>
      <c r="J18" t="s">
        <v>54</v>
      </c>
      <c r="K18" t="s">
        <v>61</v>
      </c>
      <c r="L18" t="s">
        <v>56</v>
      </c>
      <c r="M18" s="5">
        <v>1</v>
      </c>
      <c r="N18" t="s">
        <v>57</v>
      </c>
      <c r="O18" s="4" t="str">
        <f t="shared" si="2"/>
        <v>BXX</v>
      </c>
      <c r="P18" t="s">
        <v>14</v>
      </c>
      <c r="Q18" s="4" t="str">
        <f>$A$3&amp;".PB_SM"</f>
        <v>BXX_ATS1_SG1.PB_SM</v>
      </c>
      <c r="R18" t="s">
        <v>14</v>
      </c>
      <c r="S18" s="4" t="str">
        <f t="shared" si="3"/>
        <v>BXX ATS Simulate Alarms PB</v>
      </c>
      <c r="T18">
        <v>0</v>
      </c>
      <c r="U18">
        <v>0</v>
      </c>
    </row>
    <row r="19" spans="1:64" x14ac:dyDescent="0.25">
      <c r="A19" s="4" t="str">
        <f>$A$3&amp;"_PB_AE"</f>
        <v>BXX_ATS1_SG1_PB_AE</v>
      </c>
      <c r="B19" s="4" t="str">
        <f t="shared" si="1"/>
        <v>BXX_ATS1_SG1</v>
      </c>
      <c r="C19" s="4" t="str">
        <f>$C$3&amp;" Alarm Enable"</f>
        <v>BXX ATS Alarm Enable</v>
      </c>
      <c r="D19" s="2">
        <f t="shared" si="0"/>
        <v>20</v>
      </c>
      <c r="E19" t="s">
        <v>14</v>
      </c>
      <c r="F19" t="s">
        <v>13</v>
      </c>
      <c r="G19" s="5">
        <v>600</v>
      </c>
      <c r="H19" t="s">
        <v>13</v>
      </c>
      <c r="I19" t="s">
        <v>54</v>
      </c>
      <c r="J19" t="s">
        <v>60</v>
      </c>
      <c r="K19" t="s">
        <v>59</v>
      </c>
      <c r="L19" t="s">
        <v>56</v>
      </c>
      <c r="M19">
        <v>1</v>
      </c>
      <c r="N19" t="s">
        <v>57</v>
      </c>
      <c r="O19" s="4" t="str">
        <f t="shared" si="2"/>
        <v>BXX</v>
      </c>
      <c r="P19" t="s">
        <v>14</v>
      </c>
      <c r="Q19" s="4" t="str">
        <f>$A$3&amp;".PB_AE.RE"</f>
        <v>BXX_ATS1_SG1.PB_AE.RE</v>
      </c>
      <c r="R19" t="s">
        <v>14</v>
      </c>
      <c r="S19" s="4" t="str">
        <f t="shared" si="3"/>
        <v>BXX ATS Alarm Enable</v>
      </c>
      <c r="T19">
        <v>0</v>
      </c>
      <c r="U19">
        <v>0</v>
      </c>
    </row>
    <row r="20" spans="1:64" x14ac:dyDescent="0.25">
      <c r="A20" s="4" t="str">
        <f>$A$3&amp;"_PB_JR_DE"</f>
        <v>BXX_ATS1_SG1_PB_JR_DE</v>
      </c>
      <c r="B20" s="4" t="str">
        <f t="shared" si="1"/>
        <v>BXX_ATS1_SG1</v>
      </c>
      <c r="C20" s="4" t="str">
        <f>$C$3 &amp; " Failed To Xfer Dialer En"</f>
        <v>BXX ATS Failed To Xfer Dialer En</v>
      </c>
      <c r="D20" s="2">
        <f t="shared" si="0"/>
        <v>32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ref="O20:O23" si="4">$O$7</f>
        <v>BXX</v>
      </c>
      <c r="P20" t="s">
        <v>14</v>
      </c>
      <c r="Q20" s="4" t="str">
        <f>$A$3&amp;".PB_JR.DE"</f>
        <v>BXX_ATS1_SG1.PB_JR.DE</v>
      </c>
      <c r="R20" t="s">
        <v>14</v>
      </c>
      <c r="S20" s="4" t="str">
        <f t="shared" si="3"/>
        <v>BXX ATS Failed To Xfer Dialer En</v>
      </c>
      <c r="T20">
        <v>0</v>
      </c>
      <c r="U20">
        <v>0</v>
      </c>
    </row>
    <row r="21" spans="1:64" x14ac:dyDescent="0.25">
      <c r="A21" s="4" t="str">
        <f>$A$3&amp;"_PB_RM_DE"</f>
        <v>BXX_ATS1_SG1_PB_RM_DE</v>
      </c>
      <c r="B21" s="4" t="str">
        <f t="shared" si="1"/>
        <v>BXX_ATS1_SG1</v>
      </c>
      <c r="C21" s="4" t="str">
        <f>$C$3 &amp; " Not In Auto Dialer En"</f>
        <v>BXX ATS Not In Auto Dialer En</v>
      </c>
      <c r="D21" s="2">
        <f t="shared" si="0"/>
        <v>29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60</v>
      </c>
      <c r="K21" t="s">
        <v>59</v>
      </c>
      <c r="L21" t="s">
        <v>56</v>
      </c>
      <c r="M21">
        <v>1</v>
      </c>
      <c r="N21" t="s">
        <v>57</v>
      </c>
      <c r="O21" s="4" t="str">
        <f t="shared" si="4"/>
        <v>BXX</v>
      </c>
      <c r="P21" t="s">
        <v>14</v>
      </c>
      <c r="Q21" s="4" t="str">
        <f>$A$3&amp;".PB_RM.DE"</f>
        <v>BXX_ATS1_SG1.PB_RM.DE</v>
      </c>
      <c r="R21" t="s">
        <v>14</v>
      </c>
      <c r="S21" s="4" t="str">
        <f t="shared" si="3"/>
        <v>BXX ATS Not In Auto Dialer En</v>
      </c>
      <c r="T21">
        <v>0</v>
      </c>
      <c r="U21">
        <v>0</v>
      </c>
    </row>
    <row r="22" spans="1:64" x14ac:dyDescent="0.25">
      <c r="A22" s="4" t="str">
        <f>$A$3&amp;"_PB_JR_SR"</f>
        <v>BXX_ATS1_SG1_PB_JR_SR</v>
      </c>
      <c r="B22" s="4" t="str">
        <f t="shared" si="1"/>
        <v>BXX_ATS1_SG1</v>
      </c>
      <c r="C22" s="4" t="str">
        <f>$C$3 &amp; " Failed To Xfer Sup En"</f>
        <v>BXX ATS Failed To Xfer Sup En</v>
      </c>
      <c r="D22" s="2">
        <f t="shared" si="0"/>
        <v>29</v>
      </c>
      <c r="E22" t="s">
        <v>14</v>
      </c>
      <c r="F22" t="s">
        <v>13</v>
      </c>
      <c r="G22" s="5">
        <v>600</v>
      </c>
      <c r="H22" t="s">
        <v>13</v>
      </c>
      <c r="I22" t="s">
        <v>54</v>
      </c>
      <c r="J22" t="s">
        <v>60</v>
      </c>
      <c r="K22" t="s">
        <v>59</v>
      </c>
      <c r="L22" t="s">
        <v>56</v>
      </c>
      <c r="M22">
        <v>1</v>
      </c>
      <c r="N22" t="s">
        <v>57</v>
      </c>
      <c r="O22" s="4" t="str">
        <f t="shared" si="4"/>
        <v>BXX</v>
      </c>
      <c r="P22" t="s">
        <v>14</v>
      </c>
      <c r="Q22" s="4" t="str">
        <f>$A$3&amp;".PB_JR.SR"</f>
        <v>BXX_ATS1_SG1.PB_JR.SR</v>
      </c>
      <c r="R22" t="s">
        <v>14</v>
      </c>
      <c r="S22" s="4" t="str">
        <f t="shared" si="3"/>
        <v>BXX ATS Failed To Xfer Sup En</v>
      </c>
      <c r="T22">
        <v>0</v>
      </c>
      <c r="U22">
        <v>0</v>
      </c>
    </row>
    <row r="23" spans="1:64" x14ac:dyDescent="0.25">
      <c r="A23" s="4" t="str">
        <f>$A$3&amp;"_PB_RM_SR"</f>
        <v>BXX_ATS1_SG1_PB_RM_SR</v>
      </c>
      <c r="B23" s="4" t="str">
        <f t="shared" si="1"/>
        <v>BXX_ATS1_SG1</v>
      </c>
      <c r="C23" s="4" t="str">
        <f>$C$3 &amp; " Not In Auto Sup En"</f>
        <v>BXX ATS Not In Auto Sup En</v>
      </c>
      <c r="D23" s="2">
        <f t="shared" si="0"/>
        <v>26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4"/>
        <v>BXX</v>
      </c>
      <c r="P23" t="s">
        <v>14</v>
      </c>
      <c r="Q23" s="4" t="str">
        <f>$A$3&amp;".PB_RM.SR"</f>
        <v>BXX_ATS1_SG1.PB_RM.SR</v>
      </c>
      <c r="R23" t="s">
        <v>14</v>
      </c>
      <c r="S23" s="4" t="str">
        <f t="shared" si="3"/>
        <v>BXX ATS Not In Auto Sup En</v>
      </c>
      <c r="T23">
        <v>0</v>
      </c>
      <c r="U23">
        <v>0</v>
      </c>
    </row>
    <row r="24" spans="1:64" x14ac:dyDescent="0.25">
      <c r="A24" s="4" t="str">
        <f>$A$3&amp;"_PB_JE_RE"</f>
        <v>BXX_ATS1_SG1_PB_JE_RE</v>
      </c>
      <c r="B24" s="4" t="str">
        <f t="shared" si="1"/>
        <v>BXX_ATS1_SG1</v>
      </c>
      <c r="C24" s="4" t="str">
        <f>$C$3&amp;" On Emergency Power Enable"</f>
        <v>BXX ATS On Emergency Power Enable</v>
      </c>
      <c r="D24" s="2">
        <f t="shared" si="0"/>
        <v>33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>$O$6</f>
        <v>BXX</v>
      </c>
      <c r="P24" t="s">
        <v>14</v>
      </c>
      <c r="Q24" s="4" t="str">
        <f>$A$3&amp;".DA_JE.RE"</f>
        <v>BXX_ATS1_SG1.DA_JE.RE</v>
      </c>
      <c r="R24" t="s">
        <v>14</v>
      </c>
      <c r="S24" s="4" t="str">
        <f t="shared" si="3"/>
        <v>BXX ATS On Emergency Power Enable</v>
      </c>
      <c r="T24">
        <v>0</v>
      </c>
      <c r="U24">
        <v>0</v>
      </c>
    </row>
    <row r="25" spans="1:64" x14ac:dyDescent="0.25">
      <c r="A25" s="4" t="str">
        <f>$A$3&amp;"_PB_JE_DE"</f>
        <v>BXX_ATS1_SG1_PB_JE_DE</v>
      </c>
      <c r="B25" s="4" t="str">
        <f t="shared" si="1"/>
        <v>BXX_ATS1_SG1</v>
      </c>
      <c r="C25" s="4" t="str">
        <f>$C$3&amp;" On Emergency Power Dialer Enable"</f>
        <v>BXX ATS On Emergency Power Dialer Enable</v>
      </c>
      <c r="D25" s="2">
        <f t="shared" si="0"/>
        <v>40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>$O$6</f>
        <v>BXX</v>
      </c>
      <c r="P25" t="s">
        <v>14</v>
      </c>
      <c r="Q25" s="4" t="str">
        <f>$A$3&amp;".DA_JE.DE"</f>
        <v>BXX_ATS1_SG1.DA_JE.DE</v>
      </c>
      <c r="R25" t="s">
        <v>14</v>
      </c>
      <c r="S25" s="4" t="str">
        <f t="shared" si="3"/>
        <v>BXX ATS On Emergency Power Dialer Enable</v>
      </c>
      <c r="T25">
        <v>0</v>
      </c>
      <c r="U25">
        <v>0</v>
      </c>
    </row>
    <row r="26" spans="1:64" x14ac:dyDescent="0.25">
      <c r="A26" s="4" t="str">
        <f>$A$3&amp;"_PB_JE_SR"</f>
        <v>BXX_ATS1_SG1_PB_JE_SR</v>
      </c>
      <c r="B26" s="4" t="str">
        <f t="shared" si="1"/>
        <v>BXX_ATS1_SG1</v>
      </c>
      <c r="C26" s="4" t="str">
        <f>$C$3&amp;" On Emerg Power Sup Enable"</f>
        <v>BXX ATS On Emerg Power Sup Enable</v>
      </c>
      <c r="D26" s="2">
        <f t="shared" si="0"/>
        <v>33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>$O$6</f>
        <v>BXX</v>
      </c>
      <c r="P26" t="s">
        <v>14</v>
      </c>
      <c r="Q26" s="4" t="str">
        <f>$A$3&amp;".DA_JE.SR"</f>
        <v>BXX_ATS1_SG1.DA_JE.SR</v>
      </c>
      <c r="R26" t="s">
        <v>14</v>
      </c>
      <c r="S26" s="4" t="str">
        <f t="shared" si="3"/>
        <v>BXX ATS On Emerg Power Sup Enable</v>
      </c>
      <c r="T26">
        <v>0</v>
      </c>
      <c r="U26">
        <v>0</v>
      </c>
    </row>
    <row r="27" spans="1:64" x14ac:dyDescent="0.25">
      <c r="A27" s="5" t="s">
        <v>70</v>
      </c>
      <c r="B27" t="s">
        <v>16</v>
      </c>
      <c r="C27" t="s">
        <v>17</v>
      </c>
      <c r="D27" s="2">
        <f t="shared" si="0"/>
        <v>7</v>
      </c>
      <c r="E27" t="s">
        <v>39</v>
      </c>
      <c r="F27" t="s">
        <v>18</v>
      </c>
      <c r="G27" t="s">
        <v>19</v>
      </c>
      <c r="H27" t="s">
        <v>40</v>
      </c>
      <c r="I27" t="s">
        <v>71</v>
      </c>
      <c r="J27" t="s">
        <v>72</v>
      </c>
      <c r="K27" t="s">
        <v>73</v>
      </c>
      <c r="L27" t="s">
        <v>74</v>
      </c>
      <c r="M27" t="s">
        <v>75</v>
      </c>
      <c r="N27" t="s">
        <v>76</v>
      </c>
      <c r="O27" t="s">
        <v>77</v>
      </c>
      <c r="P27" t="s">
        <v>78</v>
      </c>
      <c r="Q27" t="s">
        <v>79</v>
      </c>
      <c r="R27" t="s">
        <v>80</v>
      </c>
      <c r="S27" t="s">
        <v>81</v>
      </c>
      <c r="T27" t="s">
        <v>82</v>
      </c>
      <c r="U27" t="s">
        <v>83</v>
      </c>
      <c r="V27" t="s">
        <v>84</v>
      </c>
      <c r="W27" t="s">
        <v>85</v>
      </c>
      <c r="X27" t="s">
        <v>86</v>
      </c>
      <c r="Y27" t="s">
        <v>87</v>
      </c>
      <c r="Z27" t="s">
        <v>88</v>
      </c>
      <c r="AA27" t="s">
        <v>89</v>
      </c>
      <c r="AB27" t="s">
        <v>90</v>
      </c>
      <c r="AC27" t="s">
        <v>91</v>
      </c>
      <c r="AD27" t="s">
        <v>92</v>
      </c>
      <c r="AE27" t="s">
        <v>93</v>
      </c>
      <c r="AF27" t="s">
        <v>94</v>
      </c>
      <c r="AG27" t="s">
        <v>95</v>
      </c>
      <c r="AH27" t="s">
        <v>96</v>
      </c>
      <c r="AI27" t="s">
        <v>97</v>
      </c>
      <c r="AJ27" t="s">
        <v>98</v>
      </c>
      <c r="AK27" t="s">
        <v>99</v>
      </c>
      <c r="AL27" t="s">
        <v>100</v>
      </c>
      <c r="AM27" t="s">
        <v>101</v>
      </c>
      <c r="AN27" t="s">
        <v>102</v>
      </c>
      <c r="AO27" t="s">
        <v>103</v>
      </c>
      <c r="AP27" t="s">
        <v>104</v>
      </c>
      <c r="AQ27" t="s">
        <v>105</v>
      </c>
      <c r="AR27" t="s">
        <v>47</v>
      </c>
      <c r="AS27" t="s">
        <v>48</v>
      </c>
      <c r="AT27" t="s">
        <v>49</v>
      </c>
      <c r="AU27" t="s">
        <v>50</v>
      </c>
      <c r="AV27" t="s">
        <v>51</v>
      </c>
      <c r="AW27" t="s">
        <v>52</v>
      </c>
      <c r="AX27" t="s">
        <v>20</v>
      </c>
      <c r="AY27" t="s">
        <v>21</v>
      </c>
      <c r="AZ27" t="s">
        <v>22</v>
      </c>
      <c r="BA27" t="s">
        <v>23</v>
      </c>
      <c r="BB27" t="s">
        <v>24</v>
      </c>
      <c r="BC27" t="s">
        <v>25</v>
      </c>
      <c r="BD27" t="s">
        <v>26</v>
      </c>
      <c r="BE27" t="s">
        <v>28</v>
      </c>
      <c r="BF27" t="s">
        <v>29</v>
      </c>
      <c r="BG27" t="s">
        <v>30</v>
      </c>
      <c r="BH27" t="s">
        <v>31</v>
      </c>
      <c r="BI27" t="s">
        <v>32</v>
      </c>
      <c r="BJ27" t="s">
        <v>33</v>
      </c>
      <c r="BK27" t="s">
        <v>34</v>
      </c>
      <c r="BL27" t="s">
        <v>53</v>
      </c>
    </row>
    <row r="28" spans="1:64" x14ac:dyDescent="0.25">
      <c r="A28" s="4" t="str">
        <f>$A$3&amp;"_AI_RT"</f>
        <v>BXX_ATS1_SG1_AI_RT</v>
      </c>
      <c r="B28" s="4" t="str">
        <f>$A$3</f>
        <v>BXX_ATS1_SG1</v>
      </c>
      <c r="C28" s="4" t="str">
        <f>$C$3&amp;" Hours on Emerg. Power"</f>
        <v>BXX ATS Hours on Emerg. Power</v>
      </c>
      <c r="D28" s="2">
        <f t="shared" si="0"/>
        <v>29</v>
      </c>
      <c r="E28" t="s">
        <v>13</v>
      </c>
      <c r="F28" t="s">
        <v>14</v>
      </c>
      <c r="G28">
        <v>0</v>
      </c>
      <c r="H28" t="s">
        <v>13</v>
      </c>
      <c r="I28" t="s">
        <v>14</v>
      </c>
      <c r="J28">
        <v>0</v>
      </c>
      <c r="K28">
        <v>0</v>
      </c>
      <c r="L28" t="s">
        <v>193</v>
      </c>
      <c r="M28">
        <v>0</v>
      </c>
      <c r="N28">
        <v>0</v>
      </c>
      <c r="O28">
        <v>1000000</v>
      </c>
      <c r="P28">
        <v>0</v>
      </c>
      <c r="Q28">
        <v>1</v>
      </c>
      <c r="R28" t="s">
        <v>54</v>
      </c>
      <c r="S28">
        <v>0</v>
      </c>
      <c r="T28">
        <v>1</v>
      </c>
      <c r="U28" t="s">
        <v>54</v>
      </c>
      <c r="V28">
        <v>0</v>
      </c>
      <c r="W28">
        <v>1</v>
      </c>
      <c r="X28" t="s">
        <v>54</v>
      </c>
      <c r="Y28">
        <v>0</v>
      </c>
      <c r="Z28">
        <v>1</v>
      </c>
      <c r="AA28" t="s">
        <v>54</v>
      </c>
      <c r="AB28">
        <v>0</v>
      </c>
      <c r="AC28">
        <v>1</v>
      </c>
      <c r="AD28" t="s">
        <v>54</v>
      </c>
      <c r="AE28">
        <v>0</v>
      </c>
      <c r="AF28">
        <v>1</v>
      </c>
      <c r="AG28" t="s">
        <v>54</v>
      </c>
      <c r="AH28">
        <v>0</v>
      </c>
      <c r="AI28">
        <v>1</v>
      </c>
      <c r="AJ28">
        <v>0</v>
      </c>
      <c r="AK28" t="s">
        <v>54</v>
      </c>
      <c r="AL28">
        <v>0</v>
      </c>
      <c r="AM28">
        <v>1</v>
      </c>
      <c r="AN28" t="s">
        <v>107</v>
      </c>
      <c r="AO28">
        <v>0</v>
      </c>
      <c r="AP28">
        <v>1000000</v>
      </c>
      <c r="AQ28" t="s">
        <v>108</v>
      </c>
      <c r="AR28" s="4" t="str">
        <f>$O$6</f>
        <v>BXX</v>
      </c>
      <c r="AS28" t="s">
        <v>14</v>
      </c>
      <c r="AT28" s="4" t="str">
        <f>$A$3&amp;".AI_RT"</f>
        <v>BXX_ATS1_SG1.AI_RT</v>
      </c>
      <c r="AU28" t="s">
        <v>14</v>
      </c>
      <c r="AV28" s="4" t="str">
        <f>C28</f>
        <v>BXX ATS Hours on Emerg. Power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</row>
    <row r="29" spans="1:64" x14ac:dyDescent="0.25">
      <c r="A29" s="5" t="s">
        <v>123</v>
      </c>
      <c r="B29" t="s">
        <v>16</v>
      </c>
      <c r="C29" t="s">
        <v>17</v>
      </c>
      <c r="D29" s="2">
        <f t="shared" si="0"/>
        <v>7</v>
      </c>
      <c r="E29" t="s">
        <v>39</v>
      </c>
      <c r="F29" t="s">
        <v>18</v>
      </c>
      <c r="G29" t="s">
        <v>19</v>
      </c>
      <c r="H29" t="s">
        <v>40</v>
      </c>
      <c r="I29" t="s">
        <v>124</v>
      </c>
      <c r="J29" t="s">
        <v>125</v>
      </c>
      <c r="K29" t="s">
        <v>51</v>
      </c>
      <c r="L29" t="s">
        <v>53</v>
      </c>
    </row>
    <row r="30" spans="1:64" x14ac:dyDescent="0.25">
      <c r="A30" s="4" t="str">
        <f>$A$3&amp;"_DI_NM"</f>
        <v>BXX_ATS1_SG1_DI_NM</v>
      </c>
      <c r="B30" s="4" t="str">
        <f>$A$3</f>
        <v>BXX_ATS1_SG1</v>
      </c>
      <c r="C30" s="4" t="str">
        <f>$A$3</f>
        <v>BXX_ATS1_SG1</v>
      </c>
      <c r="D30" s="2">
        <f t="shared" si="0"/>
        <v>12</v>
      </c>
      <c r="E30" t="s">
        <v>14</v>
      </c>
      <c r="F30" t="s">
        <v>14</v>
      </c>
      <c r="G30">
        <v>0</v>
      </c>
      <c r="H30" t="s">
        <v>13</v>
      </c>
      <c r="I30">
        <v>24</v>
      </c>
      <c r="J30" s="4" t="str">
        <f>$A$3</f>
        <v>BXX_ATS1_SG1</v>
      </c>
      <c r="K30" s="4" t="str">
        <f>$A$3</f>
        <v>BXX_ATS1_SG1</v>
      </c>
    </row>
    <row r="31" spans="1:64" x14ac:dyDescent="0.25">
      <c r="A31" t="s">
        <v>271</v>
      </c>
      <c r="B31" t="s">
        <v>127</v>
      </c>
      <c r="C31" t="s">
        <v>272</v>
      </c>
      <c r="D31" s="2">
        <f t="shared" si="0"/>
        <v>8</v>
      </c>
      <c r="E31" t="s">
        <v>14</v>
      </c>
      <c r="F31" t="s">
        <v>14</v>
      </c>
      <c r="G31">
        <v>0</v>
      </c>
      <c r="H31" t="s">
        <v>13</v>
      </c>
      <c r="I31">
        <v>64</v>
      </c>
    </row>
    <row r="32" spans="1:64" x14ac:dyDescent="0.25">
      <c r="A32" t="s">
        <v>130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124</v>
      </c>
      <c r="J32" t="s">
        <v>125</v>
      </c>
      <c r="K32" t="s">
        <v>47</v>
      </c>
      <c r="L32" t="s">
        <v>48</v>
      </c>
      <c r="M32" t="s">
        <v>49</v>
      </c>
      <c r="N32" t="s">
        <v>50</v>
      </c>
      <c r="O32" t="s">
        <v>51</v>
      </c>
      <c r="P32" t="s">
        <v>53</v>
      </c>
    </row>
    <row r="33" spans="1:15" x14ac:dyDescent="0.25">
      <c r="A33" s="4" t="str">
        <f>$A$3&amp;"_PB_SF_RN"</f>
        <v>BXX_ATS1_SG1_PB_SF_RN</v>
      </c>
      <c r="B33" s="4" t="str">
        <f t="shared" ref="B33:B35" si="5">$A$3</f>
        <v>BXX_ATS1_SG1</v>
      </c>
      <c r="C33" s="4" t="str">
        <f>$C$3 &amp; " Failed To Start Dis Reason"</f>
        <v>BXX ATS Failed To Start Dis Reason</v>
      </c>
      <c r="D33" s="2">
        <f>LEN(C33)</f>
        <v>34</v>
      </c>
      <c r="E33" t="s">
        <v>14</v>
      </c>
      <c r="F33" t="s">
        <v>14</v>
      </c>
      <c r="G33">
        <v>0</v>
      </c>
      <c r="H33" t="s">
        <v>13</v>
      </c>
      <c r="I33">
        <v>131</v>
      </c>
      <c r="J33" t="s">
        <v>131</v>
      </c>
      <c r="K33" s="5" t="s">
        <v>630</v>
      </c>
      <c r="L33" t="s">
        <v>13</v>
      </c>
      <c r="M33" s="4" t="str">
        <f t="shared" ref="M33:M35" si="6">A33</f>
        <v>BXX_ATS1_SG1_PB_SF_RN</v>
      </c>
      <c r="N33" t="s">
        <v>14</v>
      </c>
      <c r="O33" s="4" t="str">
        <f t="shared" ref="O33:O35" si="7">C33</f>
        <v>BXX ATS Failed To Start Dis Reason</v>
      </c>
    </row>
    <row r="34" spans="1:15" x14ac:dyDescent="0.25">
      <c r="A34" s="4" t="str">
        <f>$A$3&amp;"_PB_XF_RN"</f>
        <v>BXX_ATS1_SG1_PB_XF_RN</v>
      </c>
      <c r="B34" s="4" t="str">
        <f t="shared" si="5"/>
        <v>BXX_ATS1_SG1</v>
      </c>
      <c r="C34" s="4" t="str">
        <f>$C$3 &amp; " Failed To Stop Dis Reason"</f>
        <v>BXX ATS Failed To Stop Dis Reason</v>
      </c>
      <c r="D34" s="2">
        <f t="shared" ref="D34:D36" si="8">LEN(C34)</f>
        <v>33</v>
      </c>
      <c r="E34" t="s">
        <v>14</v>
      </c>
      <c r="F34" t="s">
        <v>14</v>
      </c>
      <c r="G34">
        <v>0</v>
      </c>
      <c r="H34" t="s">
        <v>13</v>
      </c>
      <c r="I34">
        <v>131</v>
      </c>
      <c r="J34" t="s">
        <v>131</v>
      </c>
      <c r="K34" s="4" t="str">
        <f>$K$33</f>
        <v>BXXCPU01_1</v>
      </c>
      <c r="L34" t="s">
        <v>13</v>
      </c>
      <c r="M34" s="4" t="str">
        <f t="shared" si="6"/>
        <v>BXX_ATS1_SG1_PB_XF_RN</v>
      </c>
      <c r="N34" t="s">
        <v>14</v>
      </c>
      <c r="O34" s="4" t="str">
        <f t="shared" si="7"/>
        <v>BXX ATS Failed To Stop Dis Reason</v>
      </c>
    </row>
    <row r="35" spans="1:15" x14ac:dyDescent="0.25">
      <c r="A35" s="4" t="str">
        <f>$A$3&amp;"_PB_JE_SR"</f>
        <v>BXX_ATS1_SG1_PB_JE_SR</v>
      </c>
      <c r="B35" s="4" t="str">
        <f t="shared" si="5"/>
        <v>BXX_ATS1_SG1</v>
      </c>
      <c r="C35" s="4" t="str">
        <f>$C$3&amp;" on Emerg Power Disabled Reason"</f>
        <v>BXX ATS on Emerg Power Disabled Reason</v>
      </c>
      <c r="D35" s="2">
        <f t="shared" si="8"/>
        <v>38</v>
      </c>
      <c r="E35" t="s">
        <v>14</v>
      </c>
      <c r="F35" t="s">
        <v>14</v>
      </c>
      <c r="G35">
        <v>0</v>
      </c>
      <c r="H35" t="s">
        <v>13</v>
      </c>
      <c r="I35">
        <v>131</v>
      </c>
      <c r="J35" t="s">
        <v>131</v>
      </c>
      <c r="K35" s="4" t="str">
        <f>$K$33</f>
        <v>BXXCPU01_1</v>
      </c>
      <c r="L35" t="s">
        <v>13</v>
      </c>
      <c r="M35" s="4" t="str">
        <f t="shared" si="6"/>
        <v>BXX_ATS1_SG1_PB_JE_SR</v>
      </c>
      <c r="N35" t="s">
        <v>14</v>
      </c>
      <c r="O35" s="4" t="str">
        <f t="shared" si="7"/>
        <v>BXX ATS on Emerg Power Disabled Reason</v>
      </c>
    </row>
    <row r="36" spans="1:15" x14ac:dyDescent="0.25">
      <c r="A36" t="s">
        <v>560</v>
      </c>
      <c r="B36" t="s">
        <v>16</v>
      </c>
      <c r="C36" t="s">
        <v>17</v>
      </c>
      <c r="D36" s="2">
        <f t="shared" si="8"/>
        <v>7</v>
      </c>
      <c r="E36" t="s">
        <v>18</v>
      </c>
      <c r="F36" t="s">
        <v>19</v>
      </c>
      <c r="G36" t="s">
        <v>40</v>
      </c>
      <c r="H36" t="s">
        <v>53</v>
      </c>
    </row>
    <row r="37" spans="1:15" x14ac:dyDescent="0.25">
      <c r="A37" s="5" t="s">
        <v>490</v>
      </c>
      <c r="B37" t="s">
        <v>127</v>
      </c>
      <c r="C37" t="s">
        <v>273</v>
      </c>
      <c r="E37" t="s">
        <v>14</v>
      </c>
      <c r="F37">
        <v>0</v>
      </c>
      <c r="G37" t="s">
        <v>14</v>
      </c>
    </row>
    <row r="38" spans="1:15" x14ac:dyDescent="0.25">
      <c r="A38" s="5" t="s">
        <v>445</v>
      </c>
      <c r="B38" t="s">
        <v>127</v>
      </c>
      <c r="C38" t="s">
        <v>274</v>
      </c>
      <c r="E38" t="s">
        <v>14</v>
      </c>
      <c r="F38">
        <v>0</v>
      </c>
      <c r="G38" t="s">
        <v>14</v>
      </c>
    </row>
    <row r="39" spans="1:15" x14ac:dyDescent="0.25">
      <c r="A39" s="5" t="s">
        <v>446</v>
      </c>
      <c r="B39" t="s">
        <v>127</v>
      </c>
      <c r="C39" t="s">
        <v>275</v>
      </c>
      <c r="E39" t="s">
        <v>14</v>
      </c>
      <c r="F39">
        <v>0</v>
      </c>
      <c r="G39" t="s">
        <v>14</v>
      </c>
    </row>
    <row r="40" spans="1:15" x14ac:dyDescent="0.25">
      <c r="A40" s="5" t="s">
        <v>549</v>
      </c>
      <c r="B40" t="s">
        <v>127</v>
      </c>
      <c r="C40" t="s">
        <v>276</v>
      </c>
      <c r="E40" t="s">
        <v>14</v>
      </c>
      <c r="F40">
        <v>0</v>
      </c>
      <c r="G40" t="s">
        <v>14</v>
      </c>
    </row>
    <row r="41" spans="1:15" x14ac:dyDescent="0.25">
      <c r="A41" s="5" t="s">
        <v>550</v>
      </c>
      <c r="B41" t="s">
        <v>127</v>
      </c>
      <c r="C41" t="s">
        <v>277</v>
      </c>
      <c r="E41" t="s">
        <v>14</v>
      </c>
      <c r="F41">
        <v>0</v>
      </c>
      <c r="G41" t="s">
        <v>14</v>
      </c>
    </row>
    <row r="42" spans="1:15" x14ac:dyDescent="0.25">
      <c r="A42" s="5" t="s">
        <v>551</v>
      </c>
      <c r="B42" t="s">
        <v>127</v>
      </c>
      <c r="C42" t="s">
        <v>278</v>
      </c>
      <c r="E42" t="s">
        <v>14</v>
      </c>
      <c r="F42">
        <v>0</v>
      </c>
      <c r="G42" t="s">
        <v>14</v>
      </c>
    </row>
    <row r="43" spans="1:15" x14ac:dyDescent="0.25">
      <c r="A43" s="5" t="s">
        <v>552</v>
      </c>
      <c r="B43" t="s">
        <v>127</v>
      </c>
      <c r="C43" t="s">
        <v>279</v>
      </c>
      <c r="E43" t="s">
        <v>14</v>
      </c>
      <c r="F43">
        <v>0</v>
      </c>
      <c r="G43" t="s">
        <v>14</v>
      </c>
    </row>
    <row r="44" spans="1:15" x14ac:dyDescent="0.25">
      <c r="A44" s="5" t="s">
        <v>553</v>
      </c>
      <c r="B44" t="s">
        <v>127</v>
      </c>
      <c r="C44" t="s">
        <v>277</v>
      </c>
      <c r="E44" t="s">
        <v>14</v>
      </c>
      <c r="F44">
        <v>0</v>
      </c>
      <c r="G44" t="s">
        <v>14</v>
      </c>
    </row>
    <row r="45" spans="1:15" x14ac:dyDescent="0.25">
      <c r="A45" s="5" t="s">
        <v>554</v>
      </c>
      <c r="B45" t="s">
        <v>127</v>
      </c>
      <c r="C45" t="s">
        <v>280</v>
      </c>
      <c r="E45" t="s">
        <v>14</v>
      </c>
      <c r="F45">
        <v>0</v>
      </c>
      <c r="G45" t="s">
        <v>14</v>
      </c>
    </row>
    <row r="46" spans="1:15" x14ac:dyDescent="0.25">
      <c r="A46" s="5" t="s">
        <v>555</v>
      </c>
      <c r="B46" t="s">
        <v>127</v>
      </c>
      <c r="C46" t="s">
        <v>281</v>
      </c>
      <c r="E46" t="s">
        <v>14</v>
      </c>
      <c r="F46">
        <v>0</v>
      </c>
      <c r="G46" t="s">
        <v>14</v>
      </c>
    </row>
    <row r="47" spans="1:15" x14ac:dyDescent="0.25">
      <c r="A47" t="s">
        <v>561</v>
      </c>
      <c r="B47" t="s">
        <v>16</v>
      </c>
      <c r="C47" t="s">
        <v>17</v>
      </c>
      <c r="D47" s="2">
        <f t="shared" ref="D47:D48" si="9">LEN(C47)</f>
        <v>7</v>
      </c>
      <c r="E47" t="s">
        <v>18</v>
      </c>
      <c r="F47" t="s">
        <v>19</v>
      </c>
      <c r="G47" t="s">
        <v>40</v>
      </c>
      <c r="H47" t="s">
        <v>53</v>
      </c>
    </row>
    <row r="48" spans="1:15" x14ac:dyDescent="0.25">
      <c r="A48" t="s">
        <v>556</v>
      </c>
      <c r="B48" t="s">
        <v>127</v>
      </c>
      <c r="C48" t="s">
        <v>282</v>
      </c>
      <c r="D48" s="2">
        <f t="shared" si="9"/>
        <v>24</v>
      </c>
      <c r="E48" t="s">
        <v>14</v>
      </c>
      <c r="F48">
        <v>0</v>
      </c>
      <c r="G48" t="s">
        <v>14</v>
      </c>
    </row>
  </sheetData>
  <conditionalFormatting sqref="D27:D30 D22 D6:D8 D10:D11 D16 D18:D20 D14 D33:D35">
    <cfRule type="cellIs" dxfId="25" priority="18" operator="greaterThan">
      <formula>49</formula>
    </cfRule>
  </conditionalFormatting>
  <conditionalFormatting sqref="D3:D4">
    <cfRule type="cellIs" dxfId="24" priority="17" operator="greaterThan">
      <formula>49</formula>
    </cfRule>
  </conditionalFormatting>
  <conditionalFormatting sqref="D9">
    <cfRule type="cellIs" dxfId="23" priority="13" operator="greaterThan">
      <formula>49</formula>
    </cfRule>
  </conditionalFormatting>
  <conditionalFormatting sqref="D24">
    <cfRule type="cellIs" dxfId="22" priority="11" operator="greaterThan">
      <formula>49</formula>
    </cfRule>
  </conditionalFormatting>
  <conditionalFormatting sqref="D25">
    <cfRule type="cellIs" dxfId="21" priority="10" operator="greaterThan">
      <formula>49</formula>
    </cfRule>
  </conditionalFormatting>
  <conditionalFormatting sqref="D26">
    <cfRule type="cellIs" dxfId="20" priority="9" operator="greaterThan">
      <formula>49</formula>
    </cfRule>
  </conditionalFormatting>
  <conditionalFormatting sqref="D15">
    <cfRule type="cellIs" dxfId="19" priority="8" operator="greaterThan">
      <formula>49</formula>
    </cfRule>
  </conditionalFormatting>
  <conditionalFormatting sqref="D17">
    <cfRule type="cellIs" dxfId="18" priority="7" operator="greaterThan">
      <formula>49</formula>
    </cfRule>
  </conditionalFormatting>
  <conditionalFormatting sqref="D21">
    <cfRule type="cellIs" dxfId="17" priority="6" operator="greaterThan">
      <formula>49</formula>
    </cfRule>
  </conditionalFormatting>
  <conditionalFormatting sqref="D23">
    <cfRule type="cellIs" dxfId="16" priority="5" operator="greaterThan">
      <formula>49</formula>
    </cfRule>
  </conditionalFormatting>
  <conditionalFormatting sqref="D12:D13">
    <cfRule type="cellIs" dxfId="15" priority="4" operator="greaterThan">
      <formula>49</formula>
    </cfRule>
  </conditionalFormatting>
  <conditionalFormatting sqref="D36">
    <cfRule type="cellIs" dxfId="14" priority="3" operator="greaterThan">
      <formula>49</formula>
    </cfRule>
  </conditionalFormatting>
  <conditionalFormatting sqref="D47:D48">
    <cfRule type="cellIs" dxfId="13" priority="2" operator="greaterThan">
      <formula>49</formula>
    </cfRule>
  </conditionalFormatting>
  <conditionalFormatting sqref="D31">
    <cfRule type="cellIs" dxfId="12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1"/>
  <sheetViews>
    <sheetView view="pageBreakPreview" zoomScaleNormal="100" zoomScaleSheetLayoutView="100" workbookViewId="0">
      <selection activeCell="A5" sqref="A5"/>
    </sheetView>
  </sheetViews>
  <sheetFormatPr defaultRowHeight="15" x14ac:dyDescent="0.25"/>
  <cols>
    <col min="1" max="1" width="21.140625" customWidth="1"/>
    <col min="2" max="2" width="18" customWidth="1"/>
    <col min="3" max="3" width="44.42578125" bestFit="1" customWidth="1"/>
    <col min="4" max="4" width="17.7109375" style="2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18.7109375" bestFit="1" customWidth="1"/>
    <col min="11" max="11" width="34.28515625" bestFit="1" customWidth="1"/>
    <col min="12" max="12" width="18.28515625" bestFit="1" customWidth="1"/>
    <col min="13" max="13" width="14.7109375" bestFit="1" customWidth="1"/>
    <col min="14" max="14" width="31.7109375" bestFit="1" customWidth="1"/>
    <col min="15" max="15" width="16.7109375" bestFit="1" customWidth="1"/>
    <col min="16" max="16" width="15.42578125" bestFit="1" customWidth="1"/>
    <col min="17" max="17" width="17.42578125" bestFit="1" customWidth="1"/>
    <col min="18" max="18" width="16.28515625" bestFit="1" customWidth="1"/>
    <col min="19" max="19" width="37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28515625" bestFit="1" customWidth="1"/>
    <col min="43" max="43" width="10.28515625" bestFit="1" customWidth="1"/>
    <col min="44" max="44" width="11.28515625" bestFit="1" customWidth="1"/>
    <col min="45" max="45" width="15.42578125" bestFit="1" customWidth="1"/>
    <col min="46" max="46" width="26.28515625" bestFit="1" customWidth="1"/>
    <col min="47" max="47" width="8.7109375" bestFit="1" customWidth="1"/>
    <col min="48" max="48" width="44.4257812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28515625" bestFit="1" customWidth="1"/>
    <col min="54" max="55" width="18.28515625" bestFit="1" customWidth="1"/>
    <col min="56" max="56" width="14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2" x14ac:dyDescent="0.25">
      <c r="A1" t="s">
        <v>0</v>
      </c>
      <c r="D1" s="1" t="s">
        <v>1</v>
      </c>
    </row>
    <row r="2" spans="1:22" x14ac:dyDescent="0.25">
      <c r="A2" t="s">
        <v>15</v>
      </c>
      <c r="B2" t="s">
        <v>16</v>
      </c>
      <c r="C2" t="s">
        <v>17</v>
      </c>
      <c r="D2" s="2">
        <f t="shared" ref="D2:D4" si="0">LEN(C2)</f>
        <v>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2" x14ac:dyDescent="0.25">
      <c r="A3" s="3" t="s">
        <v>447</v>
      </c>
      <c r="B3" s="4" t="str">
        <f>BXXPLC1!A5</f>
        <v>BXX</v>
      </c>
      <c r="C3" s="3" t="s">
        <v>383</v>
      </c>
      <c r="D3" s="2">
        <f t="shared" si="0"/>
        <v>12</v>
      </c>
      <c r="E3" s="5" t="s">
        <v>13</v>
      </c>
      <c r="F3" s="5">
        <v>999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</row>
    <row r="4" spans="1:22" x14ac:dyDescent="0.25">
      <c r="A4" t="s">
        <v>436</v>
      </c>
      <c r="B4" t="s">
        <v>16</v>
      </c>
      <c r="C4" t="s">
        <v>17</v>
      </c>
      <c r="D4" s="2">
        <f t="shared" si="0"/>
        <v>7</v>
      </c>
      <c r="E4" t="s">
        <v>39</v>
      </c>
      <c r="F4" t="s">
        <v>18</v>
      </c>
      <c r="G4" t="s">
        <v>19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51</v>
      </c>
      <c r="O4" t="s">
        <v>52</v>
      </c>
      <c r="P4" t="s">
        <v>27</v>
      </c>
      <c r="Q4" t="s">
        <v>35</v>
      </c>
      <c r="R4" t="s">
        <v>53</v>
      </c>
    </row>
    <row r="5" spans="1:22" x14ac:dyDescent="0.25">
      <c r="A5" s="5" t="s">
        <v>548</v>
      </c>
      <c r="B5" t="s">
        <v>127</v>
      </c>
      <c r="C5" t="s">
        <v>285</v>
      </c>
      <c r="D5" s="2">
        <f>LEN(C5)</f>
        <v>34</v>
      </c>
      <c r="E5" t="s">
        <v>14</v>
      </c>
      <c r="F5" t="s">
        <v>14</v>
      </c>
      <c r="G5">
        <v>0</v>
      </c>
      <c r="H5" t="s">
        <v>13</v>
      </c>
      <c r="I5" t="s">
        <v>54</v>
      </c>
      <c r="L5" t="s">
        <v>56</v>
      </c>
      <c r="M5">
        <v>1</v>
      </c>
      <c r="N5" t="s">
        <v>285</v>
      </c>
      <c r="O5">
        <v>0</v>
      </c>
      <c r="P5">
        <v>0</v>
      </c>
    </row>
    <row r="6" spans="1:22" x14ac:dyDescent="0.25">
      <c r="A6" s="5" t="s">
        <v>532</v>
      </c>
      <c r="B6" t="s">
        <v>127</v>
      </c>
      <c r="C6" t="s">
        <v>330</v>
      </c>
      <c r="D6" s="2">
        <f>LEN(C6)</f>
        <v>40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L6" t="s">
        <v>56</v>
      </c>
      <c r="M6">
        <v>1</v>
      </c>
      <c r="N6" t="s">
        <v>330</v>
      </c>
      <c r="O6">
        <v>0</v>
      </c>
      <c r="P6">
        <v>0</v>
      </c>
    </row>
    <row r="7" spans="1:22" x14ac:dyDescent="0.25">
      <c r="A7" s="5" t="s">
        <v>533</v>
      </c>
      <c r="B7" t="s">
        <v>127</v>
      </c>
      <c r="C7" t="s">
        <v>331</v>
      </c>
      <c r="D7" s="2">
        <f>LEN(C7)</f>
        <v>40</v>
      </c>
      <c r="E7" t="s">
        <v>14</v>
      </c>
      <c r="F7" t="s">
        <v>14</v>
      </c>
      <c r="G7">
        <v>0</v>
      </c>
      <c r="H7" t="s">
        <v>13</v>
      </c>
      <c r="I7" t="s">
        <v>54</v>
      </c>
      <c r="L7" t="s">
        <v>56</v>
      </c>
      <c r="M7">
        <v>1</v>
      </c>
      <c r="N7" t="s">
        <v>331</v>
      </c>
      <c r="O7">
        <v>0</v>
      </c>
      <c r="P7">
        <v>0</v>
      </c>
    </row>
    <row r="8" spans="1:22" x14ac:dyDescent="0.25">
      <c r="A8" s="5" t="s">
        <v>534</v>
      </c>
      <c r="B8" t="s">
        <v>127</v>
      </c>
      <c r="C8" t="s">
        <v>332</v>
      </c>
      <c r="D8" s="2">
        <f>LEN(C8)</f>
        <v>40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L8" t="s">
        <v>56</v>
      </c>
      <c r="M8">
        <v>1</v>
      </c>
      <c r="N8" t="s">
        <v>332</v>
      </c>
      <c r="O8">
        <v>0</v>
      </c>
      <c r="P8">
        <v>0</v>
      </c>
    </row>
    <row r="9" spans="1:22" x14ac:dyDescent="0.25">
      <c r="A9" s="5" t="s">
        <v>535</v>
      </c>
      <c r="B9" t="s">
        <v>127</v>
      </c>
      <c r="C9" t="s">
        <v>333</v>
      </c>
      <c r="D9" s="2">
        <f t="shared" ref="D9:D37" si="1">LEN(C9)</f>
        <v>40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L9" t="s">
        <v>56</v>
      </c>
      <c r="M9">
        <v>1</v>
      </c>
      <c r="N9" t="s">
        <v>333</v>
      </c>
      <c r="O9">
        <v>0</v>
      </c>
      <c r="P9">
        <v>0</v>
      </c>
    </row>
    <row r="10" spans="1:22" x14ac:dyDescent="0.25">
      <c r="A10" s="5" t="s">
        <v>536</v>
      </c>
      <c r="B10" t="s">
        <v>127</v>
      </c>
      <c r="C10" t="s">
        <v>334</v>
      </c>
      <c r="D10" s="2">
        <f t="shared" si="1"/>
        <v>40</v>
      </c>
      <c r="E10" t="s">
        <v>14</v>
      </c>
      <c r="F10" t="s">
        <v>14</v>
      </c>
      <c r="G10">
        <v>0</v>
      </c>
      <c r="H10" t="s">
        <v>13</v>
      </c>
      <c r="I10" t="s">
        <v>54</v>
      </c>
      <c r="L10" t="s">
        <v>56</v>
      </c>
      <c r="M10">
        <v>1</v>
      </c>
      <c r="N10" t="s">
        <v>334</v>
      </c>
      <c r="O10">
        <v>0</v>
      </c>
      <c r="P10">
        <v>0</v>
      </c>
    </row>
    <row r="11" spans="1:22" x14ac:dyDescent="0.25">
      <c r="A11" s="5" t="s">
        <v>537</v>
      </c>
      <c r="B11" t="s">
        <v>127</v>
      </c>
      <c r="C11" t="s">
        <v>335</v>
      </c>
      <c r="D11" s="2">
        <f t="shared" si="1"/>
        <v>40</v>
      </c>
      <c r="E11" t="s">
        <v>14</v>
      </c>
      <c r="F11" t="s">
        <v>14</v>
      </c>
      <c r="G11">
        <v>0</v>
      </c>
      <c r="H11" t="s">
        <v>13</v>
      </c>
      <c r="I11" t="s">
        <v>54</v>
      </c>
      <c r="L11" t="s">
        <v>56</v>
      </c>
      <c r="M11">
        <v>1</v>
      </c>
      <c r="N11" t="s">
        <v>335</v>
      </c>
      <c r="O11">
        <v>0</v>
      </c>
      <c r="P11">
        <v>0</v>
      </c>
    </row>
    <row r="12" spans="1:22" x14ac:dyDescent="0.25">
      <c r="A12" s="5" t="s">
        <v>538</v>
      </c>
      <c r="B12" t="s">
        <v>127</v>
      </c>
      <c r="C12" t="s">
        <v>336</v>
      </c>
      <c r="D12" s="2">
        <f t="shared" si="1"/>
        <v>40</v>
      </c>
      <c r="E12" t="s">
        <v>14</v>
      </c>
      <c r="F12" t="s">
        <v>14</v>
      </c>
      <c r="G12">
        <v>0</v>
      </c>
      <c r="H12" t="s">
        <v>13</v>
      </c>
      <c r="I12" t="s">
        <v>54</v>
      </c>
      <c r="L12" t="s">
        <v>56</v>
      </c>
      <c r="M12">
        <v>1</v>
      </c>
      <c r="N12" t="s">
        <v>336</v>
      </c>
      <c r="O12">
        <v>0</v>
      </c>
      <c r="P12">
        <v>0</v>
      </c>
    </row>
    <row r="13" spans="1:22" x14ac:dyDescent="0.25">
      <c r="A13" s="5" t="s">
        <v>539</v>
      </c>
      <c r="B13" t="s">
        <v>127</v>
      </c>
      <c r="C13" t="s">
        <v>337</v>
      </c>
      <c r="D13" s="2">
        <f t="shared" si="1"/>
        <v>40</v>
      </c>
      <c r="E13" t="s">
        <v>14</v>
      </c>
      <c r="F13" t="s">
        <v>14</v>
      </c>
      <c r="G13">
        <v>0</v>
      </c>
      <c r="H13" t="s">
        <v>13</v>
      </c>
      <c r="I13" t="s">
        <v>54</v>
      </c>
      <c r="L13" t="s">
        <v>56</v>
      </c>
      <c r="M13">
        <v>1</v>
      </c>
      <c r="N13" t="s">
        <v>337</v>
      </c>
      <c r="O13">
        <v>0</v>
      </c>
      <c r="P13">
        <v>0</v>
      </c>
    </row>
    <row r="14" spans="1:22" x14ac:dyDescent="0.25">
      <c r="A14" s="5" t="s">
        <v>540</v>
      </c>
      <c r="B14" t="s">
        <v>127</v>
      </c>
      <c r="C14" t="s">
        <v>338</v>
      </c>
      <c r="D14" s="2">
        <f t="shared" si="1"/>
        <v>40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L14" t="s">
        <v>56</v>
      </c>
      <c r="M14">
        <v>1</v>
      </c>
      <c r="N14" t="s">
        <v>338</v>
      </c>
      <c r="O14">
        <v>0</v>
      </c>
      <c r="P14">
        <v>0</v>
      </c>
    </row>
    <row r="15" spans="1:22" x14ac:dyDescent="0.25">
      <c r="A15" s="5" t="s">
        <v>541</v>
      </c>
      <c r="B15" t="s">
        <v>127</v>
      </c>
      <c r="C15" t="s">
        <v>339</v>
      </c>
      <c r="D15" s="2">
        <f t="shared" si="1"/>
        <v>40</v>
      </c>
      <c r="E15" t="s">
        <v>14</v>
      </c>
      <c r="F15" t="s">
        <v>14</v>
      </c>
      <c r="G15">
        <v>0</v>
      </c>
      <c r="H15" t="s">
        <v>13</v>
      </c>
      <c r="I15" t="s">
        <v>54</v>
      </c>
      <c r="L15" t="s">
        <v>56</v>
      </c>
      <c r="M15">
        <v>1</v>
      </c>
      <c r="N15" t="s">
        <v>339</v>
      </c>
      <c r="O15">
        <v>0</v>
      </c>
      <c r="P15">
        <v>0</v>
      </c>
    </row>
    <row r="16" spans="1:22" x14ac:dyDescent="0.25">
      <c r="A16" s="5" t="s">
        <v>542</v>
      </c>
      <c r="B16" t="s">
        <v>127</v>
      </c>
      <c r="C16" t="s">
        <v>340</v>
      </c>
      <c r="D16" s="2">
        <f t="shared" si="1"/>
        <v>40</v>
      </c>
      <c r="E16" t="s">
        <v>14</v>
      </c>
      <c r="F16" t="s">
        <v>14</v>
      </c>
      <c r="G16">
        <v>0</v>
      </c>
      <c r="H16" t="s">
        <v>13</v>
      </c>
      <c r="I16" t="s">
        <v>54</v>
      </c>
      <c r="L16" t="s">
        <v>56</v>
      </c>
      <c r="M16">
        <v>1</v>
      </c>
      <c r="N16" t="s">
        <v>340</v>
      </c>
      <c r="O16">
        <v>0</v>
      </c>
      <c r="P16">
        <v>0</v>
      </c>
    </row>
    <row r="17" spans="1:64" x14ac:dyDescent="0.25">
      <c r="A17" s="5" t="s">
        <v>543</v>
      </c>
      <c r="B17" t="s">
        <v>127</v>
      </c>
      <c r="C17" t="s">
        <v>341</v>
      </c>
      <c r="D17" s="2">
        <f t="shared" si="1"/>
        <v>40</v>
      </c>
      <c r="E17" t="s">
        <v>14</v>
      </c>
      <c r="F17" t="s">
        <v>14</v>
      </c>
      <c r="G17">
        <v>0</v>
      </c>
      <c r="H17" t="s">
        <v>13</v>
      </c>
      <c r="I17" t="s">
        <v>54</v>
      </c>
      <c r="L17" t="s">
        <v>56</v>
      </c>
      <c r="M17">
        <v>1</v>
      </c>
      <c r="N17" t="s">
        <v>341</v>
      </c>
      <c r="O17">
        <v>0</v>
      </c>
      <c r="P17">
        <v>0</v>
      </c>
    </row>
    <row r="18" spans="1:64" x14ac:dyDescent="0.25">
      <c r="A18" s="5" t="s">
        <v>544</v>
      </c>
      <c r="B18" t="s">
        <v>127</v>
      </c>
      <c r="C18" t="s">
        <v>342</v>
      </c>
      <c r="D18" s="2">
        <f t="shared" si="1"/>
        <v>40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L18" t="s">
        <v>56</v>
      </c>
      <c r="M18">
        <v>1</v>
      </c>
      <c r="N18" t="s">
        <v>342</v>
      </c>
      <c r="O18">
        <v>0</v>
      </c>
      <c r="P18">
        <v>0</v>
      </c>
    </row>
    <row r="19" spans="1:64" x14ac:dyDescent="0.25">
      <c r="A19" s="5" t="s">
        <v>545</v>
      </c>
      <c r="B19" t="s">
        <v>127</v>
      </c>
      <c r="C19" t="s">
        <v>343</v>
      </c>
      <c r="D19" s="2">
        <f t="shared" si="1"/>
        <v>40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L19" t="s">
        <v>56</v>
      </c>
      <c r="M19">
        <v>1</v>
      </c>
      <c r="N19" t="s">
        <v>343</v>
      </c>
      <c r="O19">
        <v>0</v>
      </c>
      <c r="P19">
        <v>0</v>
      </c>
    </row>
    <row r="20" spans="1:64" x14ac:dyDescent="0.25">
      <c r="A20" s="5" t="s">
        <v>546</v>
      </c>
      <c r="B20" t="s">
        <v>127</v>
      </c>
      <c r="C20" t="s">
        <v>344</v>
      </c>
      <c r="D20" s="2">
        <f t="shared" si="1"/>
        <v>40</v>
      </c>
      <c r="E20" t="s">
        <v>14</v>
      </c>
      <c r="F20" t="s">
        <v>14</v>
      </c>
      <c r="G20">
        <v>0</v>
      </c>
      <c r="H20" t="s">
        <v>13</v>
      </c>
      <c r="I20" t="s">
        <v>54</v>
      </c>
      <c r="L20" t="s">
        <v>56</v>
      </c>
      <c r="M20">
        <v>1</v>
      </c>
      <c r="N20" t="s">
        <v>344</v>
      </c>
      <c r="O20">
        <v>0</v>
      </c>
      <c r="P20">
        <v>0</v>
      </c>
    </row>
    <row r="21" spans="1:64" x14ac:dyDescent="0.25">
      <c r="A21" s="5" t="s">
        <v>547</v>
      </c>
      <c r="B21" t="s">
        <v>127</v>
      </c>
      <c r="C21" t="s">
        <v>345</v>
      </c>
      <c r="D21" s="2">
        <f t="shared" si="1"/>
        <v>40</v>
      </c>
      <c r="E21" t="s">
        <v>14</v>
      </c>
      <c r="F21" t="s">
        <v>14</v>
      </c>
      <c r="G21">
        <v>0</v>
      </c>
      <c r="H21" t="s">
        <v>13</v>
      </c>
      <c r="I21" t="s">
        <v>54</v>
      </c>
      <c r="L21" t="s">
        <v>56</v>
      </c>
      <c r="M21">
        <v>1</v>
      </c>
      <c r="N21" t="s">
        <v>345</v>
      </c>
      <c r="O21">
        <v>0</v>
      </c>
      <c r="P21">
        <v>0</v>
      </c>
    </row>
    <row r="22" spans="1:64" x14ac:dyDescent="0.25">
      <c r="A22" t="s">
        <v>425</v>
      </c>
      <c r="B22" t="s">
        <v>16</v>
      </c>
      <c r="C22" t="s">
        <v>17</v>
      </c>
      <c r="D22" s="2">
        <f t="shared" si="1"/>
        <v>7</v>
      </c>
      <c r="E22" t="s">
        <v>39</v>
      </c>
      <c r="F22" t="s">
        <v>18</v>
      </c>
      <c r="G22" t="s">
        <v>19</v>
      </c>
      <c r="H22" t="s">
        <v>40</v>
      </c>
      <c r="I22" t="s">
        <v>41</v>
      </c>
      <c r="J22" t="s">
        <v>42</v>
      </c>
      <c r="K22" t="s">
        <v>43</v>
      </c>
      <c r="L22" t="s">
        <v>44</v>
      </c>
      <c r="M22" t="s">
        <v>45</v>
      </c>
      <c r="N22" t="s">
        <v>46</v>
      </c>
      <c r="O22" t="s">
        <v>47</v>
      </c>
      <c r="P22" t="s">
        <v>48</v>
      </c>
      <c r="Q22" t="s">
        <v>49</v>
      </c>
      <c r="R22" t="s">
        <v>50</v>
      </c>
      <c r="S22" t="s">
        <v>51</v>
      </c>
      <c r="T22" t="s">
        <v>52</v>
      </c>
      <c r="U22" t="s">
        <v>27</v>
      </c>
      <c r="V22" t="s">
        <v>35</v>
      </c>
      <c r="W22" t="s">
        <v>53</v>
      </c>
    </row>
    <row r="23" spans="1:64" x14ac:dyDescent="0.25">
      <c r="A23" s="4" t="str">
        <f>$A$3&amp;"1_DI_UE"</f>
        <v>BXX_DTY1_DP1_DI_UE</v>
      </c>
      <c r="B23" s="4" t="str">
        <f>$A$3</f>
        <v>BXX_DTY1_DP</v>
      </c>
      <c r="C23" s="4" t="str">
        <f>$C$3 &amp;" Assignment Update Error"</f>
        <v>BXX SLP Duty Assignment Update Error</v>
      </c>
      <c r="D23" s="2">
        <f t="shared" si="1"/>
        <v>36</v>
      </c>
      <c r="E23" t="s">
        <v>14</v>
      </c>
      <c r="F23" t="s">
        <v>13</v>
      </c>
      <c r="G23" s="5">
        <v>700</v>
      </c>
      <c r="H23" t="s">
        <v>13</v>
      </c>
      <c r="I23" t="s">
        <v>54</v>
      </c>
      <c r="J23" t="s">
        <v>54</v>
      </c>
      <c r="K23" t="s">
        <v>61</v>
      </c>
      <c r="L23" t="s">
        <v>56</v>
      </c>
      <c r="M23">
        <v>1</v>
      </c>
      <c r="N23" t="s">
        <v>57</v>
      </c>
      <c r="O23" s="5" t="str">
        <f>BXXPLC1!C3</f>
        <v>BXX</v>
      </c>
      <c r="P23" t="s">
        <v>14</v>
      </c>
      <c r="Q23" s="4" t="str">
        <f>$A$3&amp;".DI_UE"</f>
        <v>BXX_DTY1_DP.DI_UE</v>
      </c>
      <c r="R23" t="s">
        <v>13</v>
      </c>
      <c r="S23" s="4" t="str">
        <f>C23</f>
        <v>BXX SLP Duty Assignment Update Error</v>
      </c>
      <c r="T23">
        <v>0</v>
      </c>
      <c r="U23">
        <v>0</v>
      </c>
    </row>
    <row r="24" spans="1:64" x14ac:dyDescent="0.25">
      <c r="A24" s="4" t="str">
        <f>$A$3&amp;"1_PB_AU"</f>
        <v>BXX_DTY1_DP1_PB_AU</v>
      </c>
      <c r="B24" s="4" t="str">
        <f t="shared" ref="B24:B26" si="2">$A$3</f>
        <v>BXX_DTY1_DP</v>
      </c>
      <c r="C24" s="4" t="str">
        <f>$C$3 &amp;" Assignment Update"</f>
        <v>BXX SLP Duty Assignment Update</v>
      </c>
      <c r="D24" s="2">
        <f t="shared" si="1"/>
        <v>30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54</v>
      </c>
      <c r="K24" t="s">
        <v>61</v>
      </c>
      <c r="L24" t="s">
        <v>56</v>
      </c>
      <c r="M24">
        <v>1</v>
      </c>
      <c r="N24" t="s">
        <v>57</v>
      </c>
      <c r="O24" s="4" t="str">
        <f>$O$23</f>
        <v>BXX</v>
      </c>
      <c r="P24" t="s">
        <v>14</v>
      </c>
      <c r="Q24" s="4" t="str">
        <f>$A$3&amp;".PB_AU"</f>
        <v>BXX_DTY1_DP.PB_AU</v>
      </c>
      <c r="R24" t="s">
        <v>14</v>
      </c>
      <c r="S24" s="4" t="str">
        <f t="shared" ref="S24:S26" si="3">C24</f>
        <v>BXX SLP Duty Assignment Update</v>
      </c>
      <c r="T24">
        <v>0</v>
      </c>
      <c r="U24">
        <v>0</v>
      </c>
    </row>
    <row r="25" spans="1:64" x14ac:dyDescent="0.25">
      <c r="A25" s="4" t="str">
        <f>$A$3&amp;"1_PB_SU"</f>
        <v>BXX_DTY1_DP1_PB_SU</v>
      </c>
      <c r="B25" s="4" t="str">
        <f t="shared" si="2"/>
        <v>BXX_DTY1_DP</v>
      </c>
      <c r="C25" s="4" t="str">
        <f>$C$3 &amp;" Setpoint Update"</f>
        <v>BXX SLP Duty Setpoint Update</v>
      </c>
      <c r="D25" s="2">
        <f t="shared" si="1"/>
        <v>28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54</v>
      </c>
      <c r="K25" t="s">
        <v>61</v>
      </c>
      <c r="L25" t="s">
        <v>56</v>
      </c>
      <c r="M25">
        <v>1</v>
      </c>
      <c r="N25" t="s">
        <v>57</v>
      </c>
      <c r="O25" s="4" t="str">
        <f t="shared" ref="O25:O26" si="4">$O$23</f>
        <v>BXX</v>
      </c>
      <c r="P25" t="s">
        <v>14</v>
      </c>
      <c r="Q25" s="4" t="str">
        <f>$A$3&amp;".PB_SU"</f>
        <v>BXX_DTY1_DP.PB_SU</v>
      </c>
      <c r="R25" t="s">
        <v>14</v>
      </c>
      <c r="S25" s="4" t="str">
        <f t="shared" si="3"/>
        <v>BXX SLP Duty Setpoint Update</v>
      </c>
      <c r="T25">
        <v>0</v>
      </c>
      <c r="U25">
        <v>0</v>
      </c>
    </row>
    <row r="26" spans="1:64" x14ac:dyDescent="0.25">
      <c r="A26" s="4" t="str">
        <f>$A$3&amp;"1_DI_EE"</f>
        <v>BXX_DTY1_DP1_DI_EE</v>
      </c>
      <c r="B26" s="4" t="str">
        <f t="shared" si="2"/>
        <v>BXX_DTY1_DP</v>
      </c>
      <c r="C26" s="4" t="str">
        <f>$C$3 &amp;" Setpoint Update Error"</f>
        <v>BXX SLP Duty Setpoint Update Error</v>
      </c>
      <c r="D26" s="2">
        <f t="shared" si="1"/>
        <v>34</v>
      </c>
      <c r="E26" t="s">
        <v>14</v>
      </c>
      <c r="F26" t="s">
        <v>13</v>
      </c>
      <c r="G26" s="5">
        <v>700</v>
      </c>
      <c r="H26" t="s">
        <v>13</v>
      </c>
      <c r="I26" t="s">
        <v>54</v>
      </c>
      <c r="J26" t="s">
        <v>54</v>
      </c>
      <c r="K26" t="s">
        <v>61</v>
      </c>
      <c r="L26" t="s">
        <v>56</v>
      </c>
      <c r="M26">
        <v>1</v>
      </c>
      <c r="N26" t="s">
        <v>57</v>
      </c>
      <c r="O26" s="4" t="str">
        <f t="shared" si="4"/>
        <v>BXX</v>
      </c>
      <c r="P26" t="s">
        <v>14</v>
      </c>
      <c r="Q26" s="4" t="str">
        <f>$A$3&amp;".DI_EE"</f>
        <v>BXX_DTY1_DP.DI_EE</v>
      </c>
      <c r="R26" t="s">
        <v>14</v>
      </c>
      <c r="S26" s="4" t="str">
        <f t="shared" si="3"/>
        <v>BXX SLP Duty Setpoint Update Error</v>
      </c>
      <c r="T26">
        <v>0</v>
      </c>
      <c r="U26">
        <v>0</v>
      </c>
    </row>
    <row r="27" spans="1:64" x14ac:dyDescent="0.25">
      <c r="A27" t="s">
        <v>120</v>
      </c>
      <c r="B27" t="s">
        <v>16</v>
      </c>
      <c r="C27" t="s">
        <v>17</v>
      </c>
      <c r="D27" s="2">
        <f t="shared" si="1"/>
        <v>7</v>
      </c>
      <c r="E27" t="s">
        <v>39</v>
      </c>
      <c r="F27" t="s">
        <v>18</v>
      </c>
      <c r="G27" t="s">
        <v>19</v>
      </c>
      <c r="H27" t="s">
        <v>40</v>
      </c>
      <c r="I27" t="s">
        <v>71</v>
      </c>
      <c r="J27" t="s">
        <v>72</v>
      </c>
      <c r="K27" t="s">
        <v>73</v>
      </c>
      <c r="L27" t="s">
        <v>74</v>
      </c>
      <c r="M27" t="s">
        <v>75</v>
      </c>
      <c r="N27" t="s">
        <v>76</v>
      </c>
      <c r="O27" t="s">
        <v>77</v>
      </c>
      <c r="P27" t="s">
        <v>78</v>
      </c>
      <c r="Q27" t="s">
        <v>79</v>
      </c>
      <c r="R27" t="s">
        <v>80</v>
      </c>
      <c r="S27" t="s">
        <v>81</v>
      </c>
      <c r="T27" t="s">
        <v>82</v>
      </c>
      <c r="U27" t="s">
        <v>83</v>
      </c>
      <c r="V27" t="s">
        <v>84</v>
      </c>
      <c r="W27" t="s">
        <v>85</v>
      </c>
      <c r="X27" t="s">
        <v>86</v>
      </c>
      <c r="Y27" t="s">
        <v>87</v>
      </c>
      <c r="Z27" t="s">
        <v>88</v>
      </c>
      <c r="AA27" t="s">
        <v>89</v>
      </c>
      <c r="AB27" t="s">
        <v>90</v>
      </c>
      <c r="AC27" t="s">
        <v>91</v>
      </c>
      <c r="AD27" t="s">
        <v>92</v>
      </c>
      <c r="AE27" t="s">
        <v>93</v>
      </c>
      <c r="AF27" t="s">
        <v>94</v>
      </c>
      <c r="AG27" t="s">
        <v>95</v>
      </c>
      <c r="AH27" t="s">
        <v>96</v>
      </c>
      <c r="AI27" t="s">
        <v>97</v>
      </c>
      <c r="AJ27" t="s">
        <v>98</v>
      </c>
      <c r="AK27" t="s">
        <v>99</v>
      </c>
      <c r="AL27" t="s">
        <v>100</v>
      </c>
      <c r="AM27" t="s">
        <v>101</v>
      </c>
      <c r="AN27" t="s">
        <v>102</v>
      </c>
      <c r="AO27" t="s">
        <v>103</v>
      </c>
      <c r="AP27" t="s">
        <v>104</v>
      </c>
      <c r="AQ27" t="s">
        <v>105</v>
      </c>
      <c r="AR27" t="s">
        <v>47</v>
      </c>
      <c r="AS27" t="s">
        <v>48</v>
      </c>
      <c r="AT27" t="s">
        <v>49</v>
      </c>
      <c r="AU27" t="s">
        <v>50</v>
      </c>
      <c r="AV27" t="s">
        <v>51</v>
      </c>
      <c r="AW27" t="s">
        <v>52</v>
      </c>
      <c r="AX27" t="s">
        <v>20</v>
      </c>
      <c r="AY27" t="s">
        <v>21</v>
      </c>
      <c r="AZ27" t="s">
        <v>22</v>
      </c>
      <c r="BA27" t="s">
        <v>23</v>
      </c>
      <c r="BB27" t="s">
        <v>24</v>
      </c>
      <c r="BC27" t="s">
        <v>25</v>
      </c>
      <c r="BD27" t="s">
        <v>26</v>
      </c>
      <c r="BE27" t="s">
        <v>28</v>
      </c>
      <c r="BF27" t="s">
        <v>29</v>
      </c>
      <c r="BG27" t="s">
        <v>30</v>
      </c>
      <c r="BH27" t="s">
        <v>31</v>
      </c>
      <c r="BI27" t="s">
        <v>32</v>
      </c>
      <c r="BJ27" t="s">
        <v>33</v>
      </c>
      <c r="BK27" t="s">
        <v>34</v>
      </c>
      <c r="BL27" t="s">
        <v>53</v>
      </c>
    </row>
    <row r="28" spans="1:64" x14ac:dyDescent="0.25">
      <c r="A28" s="4" t="str">
        <f>$A$3&amp;"1_AI_CT"</f>
        <v>BXX_DTY1_DP1_AI_CT</v>
      </c>
      <c r="B28" s="4" t="str">
        <f>$A$3</f>
        <v>BXX_DTY1_DP</v>
      </c>
      <c r="C28" s="4" t="str">
        <f>$C$3 &amp; " Pump 1"</f>
        <v>BXX SLP Duty Pump 1</v>
      </c>
      <c r="D28" s="2">
        <f t="shared" si="1"/>
        <v>19</v>
      </c>
      <c r="E28" t="s">
        <v>14</v>
      </c>
      <c r="F28" t="s">
        <v>13</v>
      </c>
      <c r="G28" s="5">
        <v>700</v>
      </c>
      <c r="H28" t="s">
        <v>13</v>
      </c>
      <c r="I28" t="s">
        <v>14</v>
      </c>
      <c r="J28">
        <v>0</v>
      </c>
      <c r="K28">
        <v>0</v>
      </c>
      <c r="M28">
        <v>1</v>
      </c>
      <c r="N28">
        <v>1</v>
      </c>
      <c r="O28" s="3">
        <v>4</v>
      </c>
      <c r="P28">
        <v>0</v>
      </c>
      <c r="Q28">
        <v>0</v>
      </c>
      <c r="R28" t="s">
        <v>54</v>
      </c>
      <c r="S28">
        <v>0</v>
      </c>
      <c r="T28">
        <v>1</v>
      </c>
      <c r="U28" t="s">
        <v>54</v>
      </c>
      <c r="V28">
        <v>0</v>
      </c>
      <c r="W28">
        <v>1</v>
      </c>
      <c r="X28" t="s">
        <v>54</v>
      </c>
      <c r="Y28">
        <v>0</v>
      </c>
      <c r="Z28">
        <v>1</v>
      </c>
      <c r="AA28" t="s">
        <v>54</v>
      </c>
      <c r="AB28">
        <v>0</v>
      </c>
      <c r="AC28">
        <v>1</v>
      </c>
      <c r="AD28" t="s">
        <v>54</v>
      </c>
      <c r="AE28">
        <v>0</v>
      </c>
      <c r="AF28">
        <v>1</v>
      </c>
      <c r="AG28" t="s">
        <v>54</v>
      </c>
      <c r="AH28">
        <v>0</v>
      </c>
      <c r="AI28">
        <v>1</v>
      </c>
      <c r="AJ28">
        <v>0</v>
      </c>
      <c r="AK28" t="s">
        <v>54</v>
      </c>
      <c r="AL28">
        <v>0</v>
      </c>
      <c r="AM28">
        <v>1</v>
      </c>
      <c r="AN28" t="s">
        <v>107</v>
      </c>
      <c r="AO28">
        <v>1</v>
      </c>
      <c r="AP28" s="4">
        <f>$O$28</f>
        <v>4</v>
      </c>
      <c r="AQ28" t="s">
        <v>108</v>
      </c>
      <c r="AR28" s="4" t="str">
        <f t="shared" ref="AR28:AR66" si="5">$O$23</f>
        <v>BXX</v>
      </c>
      <c r="AS28" t="s">
        <v>14</v>
      </c>
      <c r="AT28" s="4" t="str">
        <f>$A$3&amp;".DTY1_STS.AI_CT"</f>
        <v>BXX_DTY1_DP.DTY1_STS.AI_CT</v>
      </c>
      <c r="AU28" t="s">
        <v>13</v>
      </c>
      <c r="AV28" s="4" t="str">
        <f>C28</f>
        <v>BXX SLP Duty Pump 1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</row>
    <row r="29" spans="1:64" x14ac:dyDescent="0.25">
      <c r="A29" s="4" t="str">
        <f>$A$3&amp;"2_AI_CT"</f>
        <v>BXX_DTY1_DP2_AI_CT</v>
      </c>
      <c r="B29" s="4" t="str">
        <f>$A$3</f>
        <v>BXX_DTY1_DP</v>
      </c>
      <c r="C29" s="4" t="str">
        <f>$C$3 &amp; " Pump 2"</f>
        <v>BXX SLP Duty Pump 2</v>
      </c>
      <c r="D29" s="2">
        <f t="shared" si="1"/>
        <v>19</v>
      </c>
      <c r="E29" t="s">
        <v>14</v>
      </c>
      <c r="F29" t="s">
        <v>13</v>
      </c>
      <c r="G29" s="5">
        <v>700</v>
      </c>
      <c r="H29" t="s">
        <v>13</v>
      </c>
      <c r="I29" t="s">
        <v>14</v>
      </c>
      <c r="J29">
        <v>0</v>
      </c>
      <c r="K29">
        <v>0</v>
      </c>
      <c r="M29">
        <v>1</v>
      </c>
      <c r="N29">
        <v>1</v>
      </c>
      <c r="O29" s="4">
        <f>$O$28</f>
        <v>4</v>
      </c>
      <c r="P29">
        <v>0</v>
      </c>
      <c r="Q29">
        <v>0</v>
      </c>
      <c r="R29" t="s">
        <v>54</v>
      </c>
      <c r="S29">
        <v>0</v>
      </c>
      <c r="T29">
        <v>1</v>
      </c>
      <c r="U29" t="s">
        <v>54</v>
      </c>
      <c r="V29">
        <v>0</v>
      </c>
      <c r="W29">
        <v>1</v>
      </c>
      <c r="X29" t="s">
        <v>54</v>
      </c>
      <c r="Y29">
        <v>0</v>
      </c>
      <c r="Z29">
        <v>1</v>
      </c>
      <c r="AA29" t="s">
        <v>54</v>
      </c>
      <c r="AB29">
        <v>0</v>
      </c>
      <c r="AC29">
        <v>1</v>
      </c>
      <c r="AD29" t="s">
        <v>54</v>
      </c>
      <c r="AE29">
        <v>0</v>
      </c>
      <c r="AF29">
        <v>1</v>
      </c>
      <c r="AG29" t="s">
        <v>54</v>
      </c>
      <c r="AH29">
        <v>0</v>
      </c>
      <c r="AI29">
        <v>1</v>
      </c>
      <c r="AJ29">
        <v>0</v>
      </c>
      <c r="AK29" t="s">
        <v>54</v>
      </c>
      <c r="AL29">
        <v>0</v>
      </c>
      <c r="AM29">
        <v>1</v>
      </c>
      <c r="AN29" t="s">
        <v>107</v>
      </c>
      <c r="AO29">
        <v>1</v>
      </c>
      <c r="AP29" s="4">
        <f>$O$28</f>
        <v>4</v>
      </c>
      <c r="AQ29" t="s">
        <v>108</v>
      </c>
      <c r="AR29" s="4" t="str">
        <f t="shared" si="5"/>
        <v>BXX</v>
      </c>
      <c r="AS29" t="s">
        <v>14</v>
      </c>
      <c r="AT29" s="4" t="str">
        <f>$A$3&amp;".DTY2_STS.AI_CT"</f>
        <v>BXX_DTY1_DP.DTY2_STS.AI_CT</v>
      </c>
      <c r="AU29" t="s">
        <v>13</v>
      </c>
      <c r="AV29" s="4" t="str">
        <f t="shared" ref="AV29:AV37" si="6">C29</f>
        <v>BXX SLP Duty Pump 2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</row>
    <row r="30" spans="1:64" x14ac:dyDescent="0.25">
      <c r="A30" s="6" t="str">
        <f>$A$3&amp;"3_AI_CT"</f>
        <v>BXX_DTY1_DP3_AI_CT</v>
      </c>
      <c r="B30" s="4" t="str">
        <f t="shared" ref="B30:B66" si="7">$A$3</f>
        <v>BXX_DTY1_DP</v>
      </c>
      <c r="C30" s="4" t="str">
        <f>$C$3 &amp; " Pump 3"</f>
        <v>BXX SLP Duty Pump 3</v>
      </c>
      <c r="D30" s="2">
        <f t="shared" si="1"/>
        <v>19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>
        <v>1</v>
      </c>
      <c r="N30">
        <v>1</v>
      </c>
      <c r="O30" s="4">
        <f t="shared" ref="O30:O31" si="8">$O$28</f>
        <v>4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>
        <v>1</v>
      </c>
      <c r="AP30" s="4">
        <f>$O$28</f>
        <v>4</v>
      </c>
      <c r="AQ30" t="s">
        <v>108</v>
      </c>
      <c r="AR30" s="4" t="str">
        <f t="shared" si="5"/>
        <v>BXX</v>
      </c>
      <c r="AS30" t="s">
        <v>14</v>
      </c>
      <c r="AT30" s="4" t="str">
        <f>$A$3&amp;".DTY3_STS.AI_CT"</f>
        <v>BXX_DTY1_DP.DTY3_STS.AI_CT</v>
      </c>
      <c r="AU30" t="s">
        <v>13</v>
      </c>
      <c r="AV30" s="4" t="str">
        <f t="shared" si="6"/>
        <v>BXX SLP Duty Pump 3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6" t="str">
        <f>$A$3&amp;"4_AI_CT"</f>
        <v>BXX_DTY1_DP4_AI_CT</v>
      </c>
      <c r="B31" s="4" t="str">
        <f t="shared" si="7"/>
        <v>BXX_DTY1_DP</v>
      </c>
      <c r="C31" s="4" t="str">
        <f>$C$3 &amp; " Pump 4"</f>
        <v>BXX SLP Duty Pump 4</v>
      </c>
      <c r="D31" s="2">
        <f t="shared" si="1"/>
        <v>19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>
        <v>1</v>
      </c>
      <c r="N31">
        <v>1</v>
      </c>
      <c r="O31" s="4">
        <f t="shared" si="8"/>
        <v>4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>
        <v>1</v>
      </c>
      <c r="AP31" s="4">
        <f>$O$28</f>
        <v>4</v>
      </c>
      <c r="AQ31" t="s">
        <v>108</v>
      </c>
      <c r="AR31" s="4" t="str">
        <f t="shared" si="5"/>
        <v>BXX</v>
      </c>
      <c r="AS31" t="s">
        <v>14</v>
      </c>
      <c r="AT31" s="4" t="str">
        <f>$A$3&amp;".DTY4_STS.AI_CT"</f>
        <v>BXX_DTY1_DP.DTY4_STS.AI_CT</v>
      </c>
      <c r="AU31" t="s">
        <v>13</v>
      </c>
      <c r="AV31" s="4" t="str">
        <f t="shared" si="6"/>
        <v>BXX SLP Duty Pump 4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4" t="str">
        <f>$A$3&amp;"1_AI_TY"</f>
        <v>BXX_DTY1_DP1_AI_TY</v>
      </c>
      <c r="B32" s="4" t="str">
        <f t="shared" si="7"/>
        <v>BXX_DTY1_DP</v>
      </c>
      <c r="C32" s="4" t="str">
        <f>$C$3 &amp; " Days Remaining"</f>
        <v>BXX SLP Duty Days Remaining</v>
      </c>
      <c r="D32" s="2">
        <f t="shared" si="1"/>
        <v>27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L32" t="s">
        <v>346</v>
      </c>
      <c r="M32">
        <v>0</v>
      </c>
      <c r="N32">
        <v>0</v>
      </c>
      <c r="O32">
        <v>10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>
        <v>0</v>
      </c>
      <c r="AP32">
        <v>10</v>
      </c>
      <c r="AQ32" t="s">
        <v>108</v>
      </c>
      <c r="AR32" s="4" t="str">
        <f t="shared" si="5"/>
        <v>BXX</v>
      </c>
      <c r="AS32" t="s">
        <v>14</v>
      </c>
      <c r="AT32" s="4" t="str">
        <f>$A$3&amp;".AI_TY"</f>
        <v>BXX_DTY1_DP.AI_TY</v>
      </c>
      <c r="AU32" t="s">
        <v>13</v>
      </c>
      <c r="AV32" s="4" t="str">
        <f t="shared" si="6"/>
        <v>BXX SLP Duty Days Remaining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s="4" t="str">
        <f>$A$3&amp;"1_AO_EN"</f>
        <v>BXX_DTY1_DP1_AO_EN</v>
      </c>
      <c r="B33" s="4" t="str">
        <f t="shared" si="7"/>
        <v>BXX_DTY1_DP</v>
      </c>
      <c r="C33" s="4" t="str">
        <f>$C$3 &amp; " Rotation Mode"</f>
        <v>BXX SLP Duty Rotation Mode</v>
      </c>
      <c r="D33" s="2">
        <f t="shared" si="1"/>
        <v>26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M33">
        <v>0</v>
      </c>
      <c r="N33">
        <v>0</v>
      </c>
      <c r="O33">
        <v>3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>
        <v>0</v>
      </c>
      <c r="AP33">
        <v>3</v>
      </c>
      <c r="AQ33" t="s">
        <v>108</v>
      </c>
      <c r="AR33" s="4" t="str">
        <f t="shared" si="5"/>
        <v>BXX</v>
      </c>
      <c r="AS33" t="s">
        <v>14</v>
      </c>
      <c r="AT33" s="4" t="str">
        <f>$A$3&amp;".AO_EN"</f>
        <v>BXX_DTY1_DP.AO_EN</v>
      </c>
      <c r="AU33" t="s">
        <v>14</v>
      </c>
      <c r="AV33" s="4" t="str">
        <f t="shared" si="6"/>
        <v>BXX SLP Duty Rotation Mode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64" x14ac:dyDescent="0.25">
      <c r="A34" s="4" t="str">
        <f>$A$3&amp;"1_AO_CT"</f>
        <v>BXX_DTY1_DP1_AO_CT</v>
      </c>
      <c r="B34" s="4" t="str">
        <f t="shared" si="7"/>
        <v>BXX_DTY1_DP</v>
      </c>
      <c r="C34" s="4" t="str">
        <f>$C$3 &amp; " Pump 1 Entry"</f>
        <v>BXX SLP Duty Pump 1 Entry</v>
      </c>
      <c r="D34" s="2">
        <f t="shared" si="1"/>
        <v>25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M34">
        <v>1</v>
      </c>
      <c r="N34">
        <v>1</v>
      </c>
      <c r="O34" s="4">
        <f t="shared" ref="O34:O37" si="9">$O$28</f>
        <v>4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>
        <v>1</v>
      </c>
      <c r="AP34" s="4">
        <f>$O$28</f>
        <v>4</v>
      </c>
      <c r="AQ34" t="s">
        <v>108</v>
      </c>
      <c r="AR34" s="4" t="str">
        <f t="shared" si="5"/>
        <v>BXX</v>
      </c>
      <c r="AS34" t="s">
        <v>14</v>
      </c>
      <c r="AT34" s="4" t="str">
        <f>$A$3&amp;".DTY1_STS.AO_CT"</f>
        <v>BXX_DTY1_DP.DTY1_STS.AO_CT</v>
      </c>
      <c r="AU34" t="s">
        <v>14</v>
      </c>
      <c r="AV34" s="4" t="str">
        <f t="shared" si="6"/>
        <v>BXX SLP Duty Pump 1 Entry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$A$3&amp;"2_AO_CT"</f>
        <v>BXX_DTY1_DP2_AO_CT</v>
      </c>
      <c r="B35" s="4" t="str">
        <f t="shared" si="7"/>
        <v>BXX_DTY1_DP</v>
      </c>
      <c r="C35" s="4" t="str">
        <f>$C$3 &amp; " Pump 2 Entry"</f>
        <v>BXX SLP Duty Pump 2 Entry</v>
      </c>
      <c r="D35" s="2">
        <f t="shared" si="1"/>
        <v>25</v>
      </c>
      <c r="E35" t="s">
        <v>14</v>
      </c>
      <c r="F35" t="s">
        <v>13</v>
      </c>
      <c r="G35" s="5">
        <v>900</v>
      </c>
      <c r="H35" t="s">
        <v>13</v>
      </c>
      <c r="I35" t="s">
        <v>14</v>
      </c>
      <c r="J35">
        <v>0</v>
      </c>
      <c r="K35">
        <v>0</v>
      </c>
      <c r="M35">
        <v>1</v>
      </c>
      <c r="N35">
        <v>1</v>
      </c>
      <c r="O35" s="4">
        <f t="shared" si="9"/>
        <v>4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>
        <v>1</v>
      </c>
      <c r="AP35" s="4">
        <f>$O$28</f>
        <v>4</v>
      </c>
      <c r="AQ35" t="s">
        <v>108</v>
      </c>
      <c r="AR35" s="4" t="str">
        <f t="shared" si="5"/>
        <v>BXX</v>
      </c>
      <c r="AS35" t="s">
        <v>14</v>
      </c>
      <c r="AT35" s="4" t="str">
        <f>$A$3&amp;".DTY2_STS.AO_CT"</f>
        <v>BXX_DTY1_DP.DTY2_STS.AO_CT</v>
      </c>
      <c r="AU35" t="s">
        <v>14</v>
      </c>
      <c r="AV35" s="4" t="str">
        <f t="shared" si="6"/>
        <v>BXX SLP Duty Pump 2 Entry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6" t="str">
        <f>$A$3&amp;"3_AO_CT"</f>
        <v>BXX_DTY1_DP3_AO_CT</v>
      </c>
      <c r="B36" s="4" t="str">
        <f t="shared" si="7"/>
        <v>BXX_DTY1_DP</v>
      </c>
      <c r="C36" s="4" t="str">
        <f>$C$3 &amp; " Pump 3 Entry"</f>
        <v>BXX SLP Duty Pump 3 Entry</v>
      </c>
      <c r="D36" s="2">
        <f t="shared" si="1"/>
        <v>25</v>
      </c>
      <c r="E36" t="s">
        <v>14</v>
      </c>
      <c r="F36" t="s">
        <v>13</v>
      </c>
      <c r="G36" s="5">
        <v>900</v>
      </c>
      <c r="H36" t="s">
        <v>13</v>
      </c>
      <c r="I36" t="s">
        <v>14</v>
      </c>
      <c r="J36">
        <v>0</v>
      </c>
      <c r="K36">
        <v>0</v>
      </c>
      <c r="M36">
        <v>1</v>
      </c>
      <c r="N36">
        <v>1</v>
      </c>
      <c r="O36" s="4">
        <f t="shared" si="9"/>
        <v>4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>
        <v>1</v>
      </c>
      <c r="AP36" s="4">
        <f>$O$28</f>
        <v>4</v>
      </c>
      <c r="AQ36" t="s">
        <v>108</v>
      </c>
      <c r="AR36" s="4" t="str">
        <f t="shared" si="5"/>
        <v>BXX</v>
      </c>
      <c r="AS36" t="s">
        <v>14</v>
      </c>
      <c r="AT36" s="4" t="str">
        <f>$A$3&amp;".DTY3_STS.AO_CT"</f>
        <v>BXX_DTY1_DP.DTY3_STS.AO_CT</v>
      </c>
      <c r="AU36" t="s">
        <v>14</v>
      </c>
      <c r="AV36" s="4" t="str">
        <f t="shared" si="6"/>
        <v>BXX SLP Duty Pump 3 Entry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6" t="str">
        <f>$A$3&amp;"4_AO_CT"</f>
        <v>BXX_DTY1_DP4_AO_CT</v>
      </c>
      <c r="B37" s="4" t="str">
        <f t="shared" si="7"/>
        <v>BXX_DTY1_DP</v>
      </c>
      <c r="C37" s="4" t="str">
        <f>$C$3 &amp; " Pump 4 Entry"</f>
        <v>BXX SLP Duty Pump 4 Entry</v>
      </c>
      <c r="D37" s="2">
        <f t="shared" si="1"/>
        <v>25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M37">
        <v>1</v>
      </c>
      <c r="N37">
        <v>1</v>
      </c>
      <c r="O37" s="4">
        <f t="shared" si="9"/>
        <v>4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>
        <v>1</v>
      </c>
      <c r="AP37" s="4">
        <f>$O$28</f>
        <v>4</v>
      </c>
      <c r="AQ37" t="s">
        <v>108</v>
      </c>
      <c r="AR37" s="4" t="str">
        <f t="shared" si="5"/>
        <v>BXX</v>
      </c>
      <c r="AS37" t="s">
        <v>14</v>
      </c>
      <c r="AT37" s="4" t="str">
        <f>$A$3&amp;".DTY4_STS.AO_CT"</f>
        <v>BXX_DTY1_DP.DTY4_STS.AO_CT</v>
      </c>
      <c r="AU37" t="s">
        <v>14</v>
      </c>
      <c r="AV37" s="4" t="str">
        <f t="shared" si="6"/>
        <v>BXX SLP Duty Pump 4 Entry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$A$3&amp;"1_AO_DY"</f>
        <v>BXX_DTY1_DP1_AO_DY</v>
      </c>
      <c r="B38" s="4" t="str">
        <f t="shared" si="7"/>
        <v>BXX_DTY1_DP</v>
      </c>
      <c r="C38" s="4" t="str">
        <f>$C$3 &amp; " Rotation Daily Interval"</f>
        <v>BXX SLP Duty Rotation Daily Interval</v>
      </c>
      <c r="D38" s="2">
        <f>LEN(C38)</f>
        <v>36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t="s">
        <v>347</v>
      </c>
      <c r="M38">
        <v>1</v>
      </c>
      <c r="N38">
        <v>1</v>
      </c>
      <c r="O38">
        <v>10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>
        <v>1</v>
      </c>
      <c r="AP38">
        <v>10</v>
      </c>
      <c r="AQ38" t="s">
        <v>108</v>
      </c>
      <c r="AR38" s="4" t="str">
        <f t="shared" si="5"/>
        <v>BXX</v>
      </c>
      <c r="AS38" t="s">
        <v>14</v>
      </c>
      <c r="AT38" s="4" t="str">
        <f>$A$3&amp;".AO_DY"</f>
        <v>BXX_DTY1_DP.AO_DY</v>
      </c>
      <c r="AU38" t="s">
        <v>14</v>
      </c>
      <c r="AV38" s="4" t="str">
        <f>C38</f>
        <v>BXX SLP Duty Rotation Daily Interval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$A$3&amp;"1_AO_HS"</f>
        <v>BXX_DTY1_DP1_AO_HS</v>
      </c>
      <c r="B39" s="4" t="str">
        <f t="shared" si="7"/>
        <v>BXX_DTY1_DP</v>
      </c>
      <c r="C39" s="4" t="str">
        <f>$C$3 &amp; " Rotate Daily At Hour"</f>
        <v>BXX SLP Duty Rotate Daily At Hour</v>
      </c>
      <c r="D39" s="2">
        <f>LEN(C39)</f>
        <v>33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t="s">
        <v>348</v>
      </c>
      <c r="M39">
        <v>0</v>
      </c>
      <c r="N39">
        <v>0</v>
      </c>
      <c r="O39">
        <v>23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>
        <v>0</v>
      </c>
      <c r="AP39">
        <v>23</v>
      </c>
      <c r="AQ39" t="s">
        <v>108</v>
      </c>
      <c r="AR39" s="4" t="str">
        <f t="shared" si="5"/>
        <v>BXX</v>
      </c>
      <c r="AS39" t="s">
        <v>14</v>
      </c>
      <c r="AT39" s="4" t="str">
        <f>$A$3&amp;".AO_HS"</f>
        <v>BXX_DTY1_DP.AO_HS</v>
      </c>
      <c r="AU39" t="s">
        <v>14</v>
      </c>
      <c r="AV39" s="4" t="str">
        <f>C39</f>
        <v>BXX SLP Duty Rotate Daily At Hour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ht="13.15" customHeight="1" x14ac:dyDescent="0.25">
      <c r="A40" s="4" t="str">
        <f>$A$3&amp;"1_AO_MS"</f>
        <v>BXX_DTY1_DP1_AO_MS</v>
      </c>
      <c r="B40" s="4" t="str">
        <f t="shared" si="7"/>
        <v>BXX_DTY1_DP</v>
      </c>
      <c r="C40" s="4" t="str">
        <f>$C$3 &amp; " Rotate Daily At Minute"</f>
        <v>BXX SLP Duty Rotate Daily At Minute</v>
      </c>
      <c r="D40" s="2">
        <f>LEN(C40)</f>
        <v>35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t="s">
        <v>349</v>
      </c>
      <c r="M40">
        <v>0</v>
      </c>
      <c r="N40">
        <v>0</v>
      </c>
      <c r="O40">
        <v>59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>
        <v>0</v>
      </c>
      <c r="AP40">
        <v>59</v>
      </c>
      <c r="AQ40" t="s">
        <v>108</v>
      </c>
      <c r="AR40" s="4" t="str">
        <f t="shared" si="5"/>
        <v>BXX</v>
      </c>
      <c r="AS40" t="s">
        <v>14</v>
      </c>
      <c r="AT40" s="4" t="str">
        <f>$A$3&amp;".AO_MS"</f>
        <v>BXX_DTY1_DP.AO_MS</v>
      </c>
      <c r="AU40" t="s">
        <v>14</v>
      </c>
      <c r="AV40" s="4" t="str">
        <f>C40</f>
        <v>BXX SLP Duty Rotate Daily At Minute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$A$3&amp;"1_AO__AI"</f>
        <v>BXX_DTY1_DP1_AO__AI</v>
      </c>
      <c r="B41" s="4" t="str">
        <f t="shared" si="7"/>
        <v>BXX_DTY1_DP</v>
      </c>
      <c r="C41" s="4" t="str">
        <f>$C$3 &amp; " Rotation Hourly Interval"</f>
        <v>BXX SLP Duty Rotation Hourly Interval</v>
      </c>
      <c r="D41" s="2">
        <f>LEN(C41)</f>
        <v>37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t="s">
        <v>350</v>
      </c>
      <c r="M41">
        <v>1</v>
      </c>
      <c r="N41">
        <v>1</v>
      </c>
      <c r="O41">
        <v>23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>
        <v>1</v>
      </c>
      <c r="AP41">
        <v>23</v>
      </c>
      <c r="AQ41" t="s">
        <v>108</v>
      </c>
      <c r="AR41" s="4" t="str">
        <f t="shared" si="5"/>
        <v>BXX</v>
      </c>
      <c r="AS41" t="s">
        <v>14</v>
      </c>
      <c r="AT41" s="4" t="str">
        <f>$A$3&amp;".AO_AI"</f>
        <v>BXX_DTY1_DP.AO_AI</v>
      </c>
      <c r="AU41" t="s">
        <v>14</v>
      </c>
      <c r="AV41" s="4" t="str">
        <f>C41</f>
        <v>BXX SLP Duty Rotation Hourly Interval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t="s">
        <v>70</v>
      </c>
      <c r="B42" t="s">
        <v>16</v>
      </c>
      <c r="C42" t="s">
        <v>17</v>
      </c>
      <c r="D42" s="2">
        <f t="shared" ref="D42:D97" si="10">LEN(C42)</f>
        <v>7</v>
      </c>
      <c r="E42" t="s">
        <v>39</v>
      </c>
      <c r="F42" t="s">
        <v>18</v>
      </c>
      <c r="G42" s="5" t="s">
        <v>19</v>
      </c>
      <c r="H42" t="s">
        <v>40</v>
      </c>
      <c r="I42" t="s">
        <v>71</v>
      </c>
      <c r="J42" t="s">
        <v>72</v>
      </c>
      <c r="K42" t="s">
        <v>73</v>
      </c>
      <c r="L42" t="s">
        <v>74</v>
      </c>
      <c r="M42" t="s">
        <v>75</v>
      </c>
      <c r="N42" t="s">
        <v>76</v>
      </c>
      <c r="O42" t="s">
        <v>77</v>
      </c>
      <c r="P42" t="s">
        <v>78</v>
      </c>
      <c r="Q42" t="s">
        <v>79</v>
      </c>
      <c r="R42" t="s">
        <v>80</v>
      </c>
      <c r="S42" t="s">
        <v>81</v>
      </c>
      <c r="T42" t="s">
        <v>82</v>
      </c>
      <c r="U42" t="s">
        <v>83</v>
      </c>
      <c r="V42" t="s">
        <v>84</v>
      </c>
      <c r="W42" t="s">
        <v>85</v>
      </c>
      <c r="X42" t="s">
        <v>86</v>
      </c>
      <c r="Y42" t="s">
        <v>87</v>
      </c>
      <c r="Z42" t="s">
        <v>88</v>
      </c>
      <c r="AA42" t="s">
        <v>89</v>
      </c>
      <c r="AB42" t="s">
        <v>90</v>
      </c>
      <c r="AC42" t="s">
        <v>91</v>
      </c>
      <c r="AD42" t="s">
        <v>92</v>
      </c>
      <c r="AE42" t="s">
        <v>93</v>
      </c>
      <c r="AF42" t="s">
        <v>94</v>
      </c>
      <c r="AG42" t="s">
        <v>95</v>
      </c>
      <c r="AH42" t="s">
        <v>96</v>
      </c>
      <c r="AI42" t="s">
        <v>97</v>
      </c>
      <c r="AJ42" t="s">
        <v>98</v>
      </c>
      <c r="AK42" t="s">
        <v>99</v>
      </c>
      <c r="AL42" t="s">
        <v>100</v>
      </c>
      <c r="AM42" t="s">
        <v>101</v>
      </c>
      <c r="AN42" t="s">
        <v>102</v>
      </c>
      <c r="AO42" t="s">
        <v>103</v>
      </c>
      <c r="AP42" t="s">
        <v>104</v>
      </c>
      <c r="AQ42" t="s">
        <v>105</v>
      </c>
      <c r="AR42" t="s">
        <v>47</v>
      </c>
      <c r="AS42" t="s">
        <v>48</v>
      </c>
      <c r="AT42" t="s">
        <v>49</v>
      </c>
      <c r="AU42" t="s">
        <v>50</v>
      </c>
      <c r="AV42" t="s">
        <v>51</v>
      </c>
      <c r="AW42" t="s">
        <v>52</v>
      </c>
      <c r="AX42" t="s">
        <v>20</v>
      </c>
      <c r="AY42" t="s">
        <v>21</v>
      </c>
      <c r="AZ42" t="s">
        <v>22</v>
      </c>
      <c r="BA42" t="s">
        <v>23</v>
      </c>
      <c r="BB42" t="s">
        <v>24</v>
      </c>
      <c r="BC42" t="s">
        <v>25</v>
      </c>
      <c r="BD42" t="s">
        <v>26</v>
      </c>
      <c r="BE42" t="s">
        <v>28</v>
      </c>
      <c r="BF42" t="s">
        <v>29</v>
      </c>
      <c r="BG42" t="s">
        <v>30</v>
      </c>
      <c r="BH42" t="s">
        <v>31</v>
      </c>
      <c r="BI42" t="s">
        <v>32</v>
      </c>
      <c r="BJ42" t="s">
        <v>33</v>
      </c>
      <c r="BK42" t="s">
        <v>34</v>
      </c>
      <c r="BL42" t="s">
        <v>53</v>
      </c>
    </row>
    <row r="43" spans="1:64" x14ac:dyDescent="0.25">
      <c r="A43" s="4" t="str">
        <f>$A$3&amp;"1_AO_TS"</f>
        <v>BXX_DTY1_DP1_AO_TS</v>
      </c>
      <c r="B43" s="4" t="str">
        <f t="shared" si="7"/>
        <v>BXX_DTY1_DP</v>
      </c>
      <c r="C43" s="4" t="str">
        <f>$C$3 &amp; " 1 Start Level Entry"</f>
        <v>BXX SLP Duty 1 Start Level Entry</v>
      </c>
      <c r="D43" s="2">
        <f t="shared" si="10"/>
        <v>32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122</v>
      </c>
      <c r="M43">
        <v>0</v>
      </c>
      <c r="N43">
        <v>0</v>
      </c>
      <c r="O43">
        <v>100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>
        <v>0</v>
      </c>
      <c r="AP43">
        <v>100</v>
      </c>
      <c r="AQ43" t="s">
        <v>108</v>
      </c>
      <c r="AR43" s="4" t="str">
        <f t="shared" si="5"/>
        <v>BXX</v>
      </c>
      <c r="AS43" t="s">
        <v>14</v>
      </c>
      <c r="AT43" s="4" t="str">
        <f>$A$3&amp;".DTY1_STS.AO_TS"</f>
        <v>BXX_DTY1_DP.DTY1_STS.AO_TS</v>
      </c>
      <c r="AU43" t="s">
        <v>14</v>
      </c>
      <c r="AV43" s="4" t="str">
        <f>C43</f>
        <v>BXX SLP Duty 1 Start Level Entry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$A$3&amp;"2_AO_TS"</f>
        <v>BXX_DTY1_DP2_AO_TS</v>
      </c>
      <c r="B44" s="4" t="str">
        <f t="shared" si="7"/>
        <v>BXX_DTY1_DP</v>
      </c>
      <c r="C44" s="4" t="str">
        <f>$C$3 &amp; " 2 Start Level Entry"</f>
        <v>BXX SLP Duty 2 Start Level Entry</v>
      </c>
      <c r="D44" s="2">
        <f t="shared" si="10"/>
        <v>32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122</v>
      </c>
      <c r="M44">
        <v>0</v>
      </c>
      <c r="N44">
        <v>0</v>
      </c>
      <c r="O44">
        <v>100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>
        <v>0</v>
      </c>
      <c r="AP44">
        <v>100</v>
      </c>
      <c r="AQ44" t="s">
        <v>108</v>
      </c>
      <c r="AR44" s="4" t="str">
        <f t="shared" si="5"/>
        <v>BXX</v>
      </c>
      <c r="AS44" t="s">
        <v>14</v>
      </c>
      <c r="AT44" s="4" t="str">
        <f>$A$3&amp;".DTY2_STS.AO_TS"</f>
        <v>BXX_DTY1_DP.DTY2_STS.AO_TS</v>
      </c>
      <c r="AU44" t="s">
        <v>14</v>
      </c>
      <c r="AV44" s="4" t="str">
        <f t="shared" ref="AV44:AV66" si="11">C44</f>
        <v>BXX SLP Duty 2 Start Level Entry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6" t="str">
        <f>$A$3&amp;"3_AO_TS"</f>
        <v>BXX_DTY1_DP3_AO_TS</v>
      </c>
      <c r="B45" s="4" t="str">
        <f t="shared" si="7"/>
        <v>BXX_DTY1_DP</v>
      </c>
      <c r="C45" s="4" t="str">
        <f>$C$3 &amp; " 3 Start Level Entry"</f>
        <v>BXX SLP Duty 3 Start Level Entry</v>
      </c>
      <c r="D45" s="2">
        <f t="shared" si="10"/>
        <v>32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122</v>
      </c>
      <c r="M45">
        <v>0</v>
      </c>
      <c r="N45">
        <v>0</v>
      </c>
      <c r="O45">
        <v>100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>
        <v>0</v>
      </c>
      <c r="AP45">
        <v>100</v>
      </c>
      <c r="AQ45" t="s">
        <v>108</v>
      </c>
      <c r="AR45" s="4" t="str">
        <f t="shared" si="5"/>
        <v>BXX</v>
      </c>
      <c r="AS45" t="s">
        <v>14</v>
      </c>
      <c r="AT45" s="4" t="str">
        <f>$A$3&amp;".DTY3_STS.AO_TS"</f>
        <v>BXX_DTY1_DP.DTY3_STS.AO_TS</v>
      </c>
      <c r="AU45" t="s">
        <v>14</v>
      </c>
      <c r="AV45" s="4" t="str">
        <f t="shared" si="11"/>
        <v>BXX SLP Duty 3 Start Level Entry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6" t="str">
        <f>$A$3&amp;"4_AO_TS"</f>
        <v>BXX_DTY1_DP4_AO_TS</v>
      </c>
      <c r="B46" s="4" t="str">
        <f t="shared" si="7"/>
        <v>BXX_DTY1_DP</v>
      </c>
      <c r="C46" s="4" t="str">
        <f>$C$3 &amp; " 4 Start Level Entry"</f>
        <v>BXX SLP Duty 4 Start Level Entry</v>
      </c>
      <c r="D46" s="2">
        <f t="shared" si="10"/>
        <v>32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t="s">
        <v>122</v>
      </c>
      <c r="M46">
        <v>0</v>
      </c>
      <c r="N46">
        <v>0</v>
      </c>
      <c r="O46">
        <v>100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>
        <v>0</v>
      </c>
      <c r="AP46">
        <v>100</v>
      </c>
      <c r="AQ46" t="s">
        <v>108</v>
      </c>
      <c r="AR46" s="4" t="str">
        <f t="shared" si="5"/>
        <v>BXX</v>
      </c>
      <c r="AS46" t="s">
        <v>14</v>
      </c>
      <c r="AT46" s="4" t="str">
        <f>$A$3&amp;".DTY4_STS.AO_TS"</f>
        <v>BXX_DTY1_DP.DTY4_STS.AO_TS</v>
      </c>
      <c r="AU46" t="s">
        <v>14</v>
      </c>
      <c r="AV46" s="4" t="str">
        <f t="shared" si="11"/>
        <v>BXX SLP Duty 4 Start Level Entry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s="4" t="str">
        <f>$A$3&amp;"1_AO_PS"</f>
        <v>BXX_DTY1_DP1_AO_PS</v>
      </c>
      <c r="B47" s="4" t="str">
        <f t="shared" si="7"/>
        <v>BXX_DTY1_DP</v>
      </c>
      <c r="C47" s="4" t="str">
        <f>$C$3 &amp; " 1 Stop Level Entry"</f>
        <v>BXX SLP Duty 1 Stop Level Entry</v>
      </c>
      <c r="D47" s="2">
        <f t="shared" si="10"/>
        <v>31</v>
      </c>
      <c r="E47" t="s">
        <v>14</v>
      </c>
      <c r="F47" t="s">
        <v>13</v>
      </c>
      <c r="G47" s="5">
        <v>900</v>
      </c>
      <c r="H47" t="s">
        <v>13</v>
      </c>
      <c r="I47" t="s">
        <v>14</v>
      </c>
      <c r="J47">
        <v>0</v>
      </c>
      <c r="K47">
        <v>0</v>
      </c>
      <c r="L47" t="s">
        <v>122</v>
      </c>
      <c r="M47">
        <v>0</v>
      </c>
      <c r="N47">
        <v>0</v>
      </c>
      <c r="O47">
        <v>100</v>
      </c>
      <c r="P47">
        <v>0</v>
      </c>
      <c r="Q47">
        <v>0</v>
      </c>
      <c r="R47" t="s">
        <v>54</v>
      </c>
      <c r="S47">
        <v>0</v>
      </c>
      <c r="T47">
        <v>1</v>
      </c>
      <c r="U47" t="s">
        <v>54</v>
      </c>
      <c r="V47">
        <v>0</v>
      </c>
      <c r="W47">
        <v>1</v>
      </c>
      <c r="X47" t="s">
        <v>54</v>
      </c>
      <c r="Y47">
        <v>0</v>
      </c>
      <c r="Z47">
        <v>1</v>
      </c>
      <c r="AA47" t="s">
        <v>54</v>
      </c>
      <c r="AB47">
        <v>0</v>
      </c>
      <c r="AC47">
        <v>1</v>
      </c>
      <c r="AD47" t="s">
        <v>54</v>
      </c>
      <c r="AE47">
        <v>0</v>
      </c>
      <c r="AF47">
        <v>1</v>
      </c>
      <c r="AG47" t="s">
        <v>54</v>
      </c>
      <c r="AH47">
        <v>0</v>
      </c>
      <c r="AI47">
        <v>1</v>
      </c>
      <c r="AJ47">
        <v>0</v>
      </c>
      <c r="AK47" t="s">
        <v>54</v>
      </c>
      <c r="AL47">
        <v>0</v>
      </c>
      <c r="AM47">
        <v>1</v>
      </c>
      <c r="AN47" t="s">
        <v>107</v>
      </c>
      <c r="AO47">
        <v>0</v>
      </c>
      <c r="AP47">
        <v>100</v>
      </c>
      <c r="AQ47" t="s">
        <v>108</v>
      </c>
      <c r="AR47" s="4" t="str">
        <f t="shared" si="5"/>
        <v>BXX</v>
      </c>
      <c r="AS47" t="s">
        <v>14</v>
      </c>
      <c r="AT47" s="4" t="str">
        <f>$A$3&amp;".DTY1_STS.AO_PS"</f>
        <v>BXX_DTY1_DP.DTY1_STS.AO_PS</v>
      </c>
      <c r="AU47" t="s">
        <v>14</v>
      </c>
      <c r="AV47" s="4" t="str">
        <f t="shared" si="11"/>
        <v>BXX SLP Duty 1 Stop Level Entry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</row>
    <row r="48" spans="1:64" x14ac:dyDescent="0.25">
      <c r="A48" s="4" t="str">
        <f>$A$3&amp;"2_AO_PS"</f>
        <v>BXX_DTY1_DP2_AO_PS</v>
      </c>
      <c r="B48" s="4" t="str">
        <f t="shared" si="7"/>
        <v>BXX_DTY1_DP</v>
      </c>
      <c r="C48" s="4" t="str">
        <f>$C$3 &amp; " 2 Stop Level Entry"</f>
        <v>BXX SLP Duty 2 Stop Level Entry</v>
      </c>
      <c r="D48" s="2">
        <f t="shared" si="10"/>
        <v>31</v>
      </c>
      <c r="E48" t="s">
        <v>14</v>
      </c>
      <c r="F48" t="s">
        <v>13</v>
      </c>
      <c r="G48" s="5">
        <v>900</v>
      </c>
      <c r="H48" t="s">
        <v>13</v>
      </c>
      <c r="I48" t="s">
        <v>14</v>
      </c>
      <c r="J48">
        <v>0</v>
      </c>
      <c r="K48">
        <v>0</v>
      </c>
      <c r="L48" t="s">
        <v>122</v>
      </c>
      <c r="M48">
        <v>0</v>
      </c>
      <c r="N48">
        <v>0</v>
      </c>
      <c r="O48">
        <v>100</v>
      </c>
      <c r="P48">
        <v>0</v>
      </c>
      <c r="Q48">
        <v>0</v>
      </c>
      <c r="R48" t="s">
        <v>54</v>
      </c>
      <c r="S48">
        <v>0</v>
      </c>
      <c r="T48">
        <v>1</v>
      </c>
      <c r="U48" t="s">
        <v>54</v>
      </c>
      <c r="V48">
        <v>0</v>
      </c>
      <c r="W48">
        <v>1</v>
      </c>
      <c r="X48" t="s">
        <v>54</v>
      </c>
      <c r="Y48">
        <v>0</v>
      </c>
      <c r="Z48">
        <v>1</v>
      </c>
      <c r="AA48" t="s">
        <v>54</v>
      </c>
      <c r="AB48">
        <v>0</v>
      </c>
      <c r="AC48">
        <v>1</v>
      </c>
      <c r="AD48" t="s">
        <v>54</v>
      </c>
      <c r="AE48">
        <v>0</v>
      </c>
      <c r="AF48">
        <v>1</v>
      </c>
      <c r="AG48" t="s">
        <v>54</v>
      </c>
      <c r="AH48">
        <v>0</v>
      </c>
      <c r="AI48">
        <v>1</v>
      </c>
      <c r="AJ48">
        <v>0</v>
      </c>
      <c r="AK48" t="s">
        <v>54</v>
      </c>
      <c r="AL48">
        <v>0</v>
      </c>
      <c r="AM48">
        <v>1</v>
      </c>
      <c r="AN48" t="s">
        <v>107</v>
      </c>
      <c r="AO48">
        <v>0</v>
      </c>
      <c r="AP48">
        <v>100</v>
      </c>
      <c r="AQ48" t="s">
        <v>108</v>
      </c>
      <c r="AR48" s="4" t="str">
        <f t="shared" si="5"/>
        <v>BXX</v>
      </c>
      <c r="AS48" t="s">
        <v>14</v>
      </c>
      <c r="AT48" s="4" t="str">
        <f>$A$3&amp;".DTY2_STS.AO_PS"</f>
        <v>BXX_DTY1_DP.DTY2_STS.AO_PS</v>
      </c>
      <c r="AU48" t="s">
        <v>14</v>
      </c>
      <c r="AV48" s="4" t="str">
        <f t="shared" si="11"/>
        <v>BXX SLP Duty 2 Stop Level Entry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</row>
    <row r="49" spans="1:56" x14ac:dyDescent="0.25">
      <c r="A49" s="6" t="str">
        <f>$A$3&amp;"3_AO_PS"</f>
        <v>BXX_DTY1_DP3_AO_PS</v>
      </c>
      <c r="B49" s="4" t="str">
        <f t="shared" si="7"/>
        <v>BXX_DTY1_DP</v>
      </c>
      <c r="C49" s="4" t="str">
        <f>$C$3 &amp; " 3 Stop Level Entry"</f>
        <v>BXX SLP Duty 3 Stop Level Entry</v>
      </c>
      <c r="D49" s="2">
        <f t="shared" si="10"/>
        <v>31</v>
      </c>
      <c r="E49" t="s">
        <v>14</v>
      </c>
      <c r="F49" t="s">
        <v>13</v>
      </c>
      <c r="G49" s="5">
        <v>900</v>
      </c>
      <c r="H49" t="s">
        <v>13</v>
      </c>
      <c r="I49" t="s">
        <v>14</v>
      </c>
      <c r="J49">
        <v>0</v>
      </c>
      <c r="K49">
        <v>0</v>
      </c>
      <c r="L49" t="s">
        <v>122</v>
      </c>
      <c r="M49">
        <v>0</v>
      </c>
      <c r="N49">
        <v>0</v>
      </c>
      <c r="O49">
        <v>100</v>
      </c>
      <c r="P49">
        <v>0</v>
      </c>
      <c r="Q49">
        <v>0</v>
      </c>
      <c r="R49" t="s">
        <v>54</v>
      </c>
      <c r="S49">
        <v>0</v>
      </c>
      <c r="T49">
        <v>1</v>
      </c>
      <c r="U49" t="s">
        <v>54</v>
      </c>
      <c r="V49">
        <v>0</v>
      </c>
      <c r="W49">
        <v>1</v>
      </c>
      <c r="X49" t="s">
        <v>54</v>
      </c>
      <c r="Y49">
        <v>0</v>
      </c>
      <c r="Z49">
        <v>1</v>
      </c>
      <c r="AA49" t="s">
        <v>54</v>
      </c>
      <c r="AB49">
        <v>0</v>
      </c>
      <c r="AC49">
        <v>1</v>
      </c>
      <c r="AD49" t="s">
        <v>54</v>
      </c>
      <c r="AE49">
        <v>0</v>
      </c>
      <c r="AF49">
        <v>1</v>
      </c>
      <c r="AG49" t="s">
        <v>54</v>
      </c>
      <c r="AH49">
        <v>0</v>
      </c>
      <c r="AI49">
        <v>1</v>
      </c>
      <c r="AJ49">
        <v>0</v>
      </c>
      <c r="AK49" t="s">
        <v>54</v>
      </c>
      <c r="AL49">
        <v>0</v>
      </c>
      <c r="AM49">
        <v>1</v>
      </c>
      <c r="AN49" t="s">
        <v>107</v>
      </c>
      <c r="AO49">
        <v>0</v>
      </c>
      <c r="AP49">
        <v>100</v>
      </c>
      <c r="AQ49" t="s">
        <v>108</v>
      </c>
      <c r="AR49" s="4" t="str">
        <f t="shared" si="5"/>
        <v>BXX</v>
      </c>
      <c r="AS49" t="s">
        <v>14</v>
      </c>
      <c r="AT49" s="4" t="str">
        <f>$A$3&amp;".DTY3_STS.AO_PS"</f>
        <v>BXX_DTY1_DP.DTY3_STS.AO_PS</v>
      </c>
      <c r="AU49" t="s">
        <v>14</v>
      </c>
      <c r="AV49" s="4" t="str">
        <f t="shared" si="11"/>
        <v>BXX SLP Duty 3 Stop Level Entry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</row>
    <row r="50" spans="1:56" x14ac:dyDescent="0.25">
      <c r="A50" s="6" t="str">
        <f>$A$3&amp;"4_AO_PS"</f>
        <v>BXX_DTY1_DP4_AO_PS</v>
      </c>
      <c r="B50" s="4" t="str">
        <f t="shared" si="7"/>
        <v>BXX_DTY1_DP</v>
      </c>
      <c r="C50" s="4" t="str">
        <f>$C$3 &amp; " 4 Stop Level Entry"</f>
        <v>BXX SLP Duty 4 Stop Level Entry</v>
      </c>
      <c r="D50" s="2">
        <f t="shared" si="10"/>
        <v>31</v>
      </c>
      <c r="E50" t="s">
        <v>14</v>
      </c>
      <c r="F50" t="s">
        <v>13</v>
      </c>
      <c r="G50" s="5">
        <v>900</v>
      </c>
      <c r="H50" t="s">
        <v>13</v>
      </c>
      <c r="I50" t="s">
        <v>14</v>
      </c>
      <c r="J50">
        <v>0</v>
      </c>
      <c r="K50">
        <v>0</v>
      </c>
      <c r="L50" t="s">
        <v>122</v>
      </c>
      <c r="M50">
        <v>0</v>
      </c>
      <c r="N50">
        <v>0</v>
      </c>
      <c r="O50">
        <v>100</v>
      </c>
      <c r="P50">
        <v>0</v>
      </c>
      <c r="Q50">
        <v>0</v>
      </c>
      <c r="R50" t="s">
        <v>54</v>
      </c>
      <c r="S50">
        <v>0</v>
      </c>
      <c r="T50">
        <v>1</v>
      </c>
      <c r="U50" t="s">
        <v>54</v>
      </c>
      <c r="V50">
        <v>0</v>
      </c>
      <c r="W50">
        <v>1</v>
      </c>
      <c r="X50" t="s">
        <v>54</v>
      </c>
      <c r="Y50">
        <v>0</v>
      </c>
      <c r="Z50">
        <v>1</v>
      </c>
      <c r="AA50" t="s">
        <v>54</v>
      </c>
      <c r="AB50">
        <v>0</v>
      </c>
      <c r="AC50">
        <v>1</v>
      </c>
      <c r="AD50" t="s">
        <v>54</v>
      </c>
      <c r="AE50">
        <v>0</v>
      </c>
      <c r="AF50">
        <v>1</v>
      </c>
      <c r="AG50" t="s">
        <v>54</v>
      </c>
      <c r="AH50">
        <v>0</v>
      </c>
      <c r="AI50">
        <v>1</v>
      </c>
      <c r="AJ50">
        <v>0</v>
      </c>
      <c r="AK50" t="s">
        <v>54</v>
      </c>
      <c r="AL50">
        <v>0</v>
      </c>
      <c r="AM50">
        <v>1</v>
      </c>
      <c r="AN50" t="s">
        <v>107</v>
      </c>
      <c r="AO50">
        <v>0</v>
      </c>
      <c r="AP50">
        <v>100</v>
      </c>
      <c r="AQ50" t="s">
        <v>108</v>
      </c>
      <c r="AR50" s="4" t="str">
        <f t="shared" si="5"/>
        <v>BXX</v>
      </c>
      <c r="AS50" t="s">
        <v>14</v>
      </c>
      <c r="AT50" s="4" t="str">
        <f>$A$3&amp;".DTY4_STS.AO_PS"</f>
        <v>BXX_DTY1_DP.DTY4_STS.AO_PS</v>
      </c>
      <c r="AU50" t="s">
        <v>14</v>
      </c>
      <c r="AV50" s="4" t="str">
        <f t="shared" si="11"/>
        <v>BXX SLP Duty 4 Stop Level Entry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</row>
    <row r="51" spans="1:56" x14ac:dyDescent="0.25">
      <c r="A51" s="4" t="str">
        <f>$A$3&amp;"1_AI_TS"</f>
        <v>BXX_DTY1_DP1_AI_TS</v>
      </c>
      <c r="B51" s="4" t="str">
        <f t="shared" si="7"/>
        <v>BXX_DTY1_DP</v>
      </c>
      <c r="C51" s="4" t="str">
        <f>$C$3 &amp; " 1 Start Level"</f>
        <v>BXX SLP Duty 1 Start Level</v>
      </c>
      <c r="D51" s="2">
        <f t="shared" si="10"/>
        <v>26</v>
      </c>
      <c r="E51" t="s">
        <v>14</v>
      </c>
      <c r="F51" t="s">
        <v>13</v>
      </c>
      <c r="G51" s="5">
        <v>900</v>
      </c>
      <c r="H51" t="s">
        <v>13</v>
      </c>
      <c r="I51" t="s">
        <v>14</v>
      </c>
      <c r="J51">
        <v>0</v>
      </c>
      <c r="K51">
        <v>0</v>
      </c>
      <c r="L51" t="s">
        <v>122</v>
      </c>
      <c r="M51">
        <v>0</v>
      </c>
      <c r="N51">
        <v>0</v>
      </c>
      <c r="O51">
        <v>100</v>
      </c>
      <c r="P51">
        <v>0</v>
      </c>
      <c r="Q51">
        <v>0</v>
      </c>
      <c r="R51" t="s">
        <v>54</v>
      </c>
      <c r="S51">
        <v>0</v>
      </c>
      <c r="T51">
        <v>1</v>
      </c>
      <c r="U51" t="s">
        <v>54</v>
      </c>
      <c r="V51">
        <v>0</v>
      </c>
      <c r="W51">
        <v>1</v>
      </c>
      <c r="X51" t="s">
        <v>54</v>
      </c>
      <c r="Y51">
        <v>0</v>
      </c>
      <c r="Z51">
        <v>1</v>
      </c>
      <c r="AA51" t="s">
        <v>54</v>
      </c>
      <c r="AB51">
        <v>0</v>
      </c>
      <c r="AC51">
        <v>1</v>
      </c>
      <c r="AD51" t="s">
        <v>54</v>
      </c>
      <c r="AE51">
        <v>0</v>
      </c>
      <c r="AF51">
        <v>1</v>
      </c>
      <c r="AG51" t="s">
        <v>54</v>
      </c>
      <c r="AH51">
        <v>0</v>
      </c>
      <c r="AI51">
        <v>1</v>
      </c>
      <c r="AJ51">
        <v>0</v>
      </c>
      <c r="AK51" t="s">
        <v>54</v>
      </c>
      <c r="AL51">
        <v>0</v>
      </c>
      <c r="AM51">
        <v>1</v>
      </c>
      <c r="AN51" t="s">
        <v>107</v>
      </c>
      <c r="AO51">
        <v>0</v>
      </c>
      <c r="AP51">
        <v>100</v>
      </c>
      <c r="AQ51" t="s">
        <v>108</v>
      </c>
      <c r="AR51" s="4" t="str">
        <f t="shared" si="5"/>
        <v>BXX</v>
      </c>
      <c r="AS51" t="s">
        <v>14</v>
      </c>
      <c r="AT51" s="4" t="str">
        <f>$A$3&amp;".DTY1_STS.AI_TS"</f>
        <v>BXX_DTY1_DP.DTY1_STS.AI_TS</v>
      </c>
      <c r="AU51" t="s">
        <v>14</v>
      </c>
      <c r="AV51" s="4" t="str">
        <f t="shared" si="11"/>
        <v>BXX SLP Duty 1 Start Level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</row>
    <row r="52" spans="1:56" x14ac:dyDescent="0.25">
      <c r="A52" s="4" t="str">
        <f>$A$3&amp;"2_AI_TS"</f>
        <v>BXX_DTY1_DP2_AI_TS</v>
      </c>
      <c r="B52" s="4" t="str">
        <f t="shared" si="7"/>
        <v>BXX_DTY1_DP</v>
      </c>
      <c r="C52" s="4" t="str">
        <f>$C$3 &amp; " 2 Start Level"</f>
        <v>BXX SLP Duty 2 Start Level</v>
      </c>
      <c r="D52" s="2">
        <f t="shared" si="10"/>
        <v>26</v>
      </c>
      <c r="E52" t="s">
        <v>14</v>
      </c>
      <c r="F52" t="s">
        <v>13</v>
      </c>
      <c r="G52" s="5">
        <v>900</v>
      </c>
      <c r="H52" t="s">
        <v>13</v>
      </c>
      <c r="I52" t="s">
        <v>14</v>
      </c>
      <c r="J52">
        <v>0</v>
      </c>
      <c r="K52">
        <v>0</v>
      </c>
      <c r="L52" t="s">
        <v>122</v>
      </c>
      <c r="M52">
        <v>0</v>
      </c>
      <c r="N52">
        <v>0</v>
      </c>
      <c r="O52">
        <v>100</v>
      </c>
      <c r="P52">
        <v>0</v>
      </c>
      <c r="Q52">
        <v>0</v>
      </c>
      <c r="R52" t="s">
        <v>54</v>
      </c>
      <c r="S52">
        <v>0</v>
      </c>
      <c r="T52">
        <v>1</v>
      </c>
      <c r="U52" t="s">
        <v>54</v>
      </c>
      <c r="V52">
        <v>0</v>
      </c>
      <c r="W52">
        <v>1</v>
      </c>
      <c r="X52" t="s">
        <v>54</v>
      </c>
      <c r="Y52">
        <v>0</v>
      </c>
      <c r="Z52">
        <v>1</v>
      </c>
      <c r="AA52" t="s">
        <v>54</v>
      </c>
      <c r="AB52">
        <v>0</v>
      </c>
      <c r="AC52">
        <v>1</v>
      </c>
      <c r="AD52" t="s">
        <v>54</v>
      </c>
      <c r="AE52">
        <v>0</v>
      </c>
      <c r="AF52">
        <v>1</v>
      </c>
      <c r="AG52" t="s">
        <v>54</v>
      </c>
      <c r="AH52">
        <v>0</v>
      </c>
      <c r="AI52">
        <v>1</v>
      </c>
      <c r="AJ52">
        <v>0</v>
      </c>
      <c r="AK52" t="s">
        <v>54</v>
      </c>
      <c r="AL52">
        <v>0</v>
      </c>
      <c r="AM52">
        <v>1</v>
      </c>
      <c r="AN52" t="s">
        <v>107</v>
      </c>
      <c r="AO52">
        <v>0</v>
      </c>
      <c r="AP52">
        <v>100</v>
      </c>
      <c r="AQ52" t="s">
        <v>108</v>
      </c>
      <c r="AR52" s="4" t="str">
        <f t="shared" si="5"/>
        <v>BXX</v>
      </c>
      <c r="AS52" t="s">
        <v>14</v>
      </c>
      <c r="AT52" s="4" t="str">
        <f>$A$3&amp;".DTY2_STS.AI_TS"</f>
        <v>BXX_DTY1_DP.DTY2_STS.AI_TS</v>
      </c>
      <c r="AU52" t="s">
        <v>14</v>
      </c>
      <c r="AV52" s="4" t="str">
        <f t="shared" si="11"/>
        <v>BXX SLP Duty 2 Start Level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</row>
    <row r="53" spans="1:56" x14ac:dyDescent="0.25">
      <c r="A53" s="6" t="str">
        <f>$A$3&amp;"3_AI_TS"</f>
        <v>BXX_DTY1_DP3_AI_TS</v>
      </c>
      <c r="B53" s="4" t="str">
        <f t="shared" si="7"/>
        <v>BXX_DTY1_DP</v>
      </c>
      <c r="C53" s="4" t="str">
        <f>$C$3 &amp; " 3 Start Level"</f>
        <v>BXX SLP Duty 3 Start Level</v>
      </c>
      <c r="D53" s="2">
        <f t="shared" si="10"/>
        <v>26</v>
      </c>
      <c r="E53" t="s">
        <v>14</v>
      </c>
      <c r="F53" t="s">
        <v>13</v>
      </c>
      <c r="G53" s="5">
        <v>900</v>
      </c>
      <c r="H53" t="s">
        <v>13</v>
      </c>
      <c r="I53" t="s">
        <v>14</v>
      </c>
      <c r="J53">
        <v>0</v>
      </c>
      <c r="K53">
        <v>0</v>
      </c>
      <c r="L53" t="s">
        <v>122</v>
      </c>
      <c r="M53">
        <v>0</v>
      </c>
      <c r="N53">
        <v>0</v>
      </c>
      <c r="O53">
        <v>100</v>
      </c>
      <c r="P53">
        <v>0</v>
      </c>
      <c r="Q53">
        <v>0</v>
      </c>
      <c r="R53" t="s">
        <v>54</v>
      </c>
      <c r="S53">
        <v>0</v>
      </c>
      <c r="T53">
        <v>1</v>
      </c>
      <c r="U53" t="s">
        <v>54</v>
      </c>
      <c r="V53">
        <v>0</v>
      </c>
      <c r="W53">
        <v>1</v>
      </c>
      <c r="X53" t="s">
        <v>54</v>
      </c>
      <c r="Y53">
        <v>0</v>
      </c>
      <c r="Z53">
        <v>1</v>
      </c>
      <c r="AA53" t="s">
        <v>54</v>
      </c>
      <c r="AB53">
        <v>0</v>
      </c>
      <c r="AC53">
        <v>1</v>
      </c>
      <c r="AD53" t="s">
        <v>54</v>
      </c>
      <c r="AE53">
        <v>0</v>
      </c>
      <c r="AF53">
        <v>1</v>
      </c>
      <c r="AG53" t="s">
        <v>54</v>
      </c>
      <c r="AH53">
        <v>0</v>
      </c>
      <c r="AI53">
        <v>1</v>
      </c>
      <c r="AJ53">
        <v>0</v>
      </c>
      <c r="AK53" t="s">
        <v>54</v>
      </c>
      <c r="AL53">
        <v>0</v>
      </c>
      <c r="AM53">
        <v>1</v>
      </c>
      <c r="AN53" t="s">
        <v>107</v>
      </c>
      <c r="AO53">
        <v>0</v>
      </c>
      <c r="AP53">
        <v>100</v>
      </c>
      <c r="AQ53" t="s">
        <v>108</v>
      </c>
      <c r="AR53" s="4" t="str">
        <f t="shared" si="5"/>
        <v>BXX</v>
      </c>
      <c r="AS53" t="s">
        <v>14</v>
      </c>
      <c r="AT53" s="4" t="str">
        <f>$A$3&amp;".DTY3_STS.AI_TS"</f>
        <v>BXX_DTY1_DP.DTY3_STS.AI_TS</v>
      </c>
      <c r="AU53" t="s">
        <v>14</v>
      </c>
      <c r="AV53" s="4" t="str">
        <f t="shared" si="11"/>
        <v>BXX SLP Duty 3 Start Level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</row>
    <row r="54" spans="1:56" x14ac:dyDescent="0.25">
      <c r="A54" s="6" t="str">
        <f>$A$3&amp;"4_AI_TS"</f>
        <v>BXX_DTY1_DP4_AI_TS</v>
      </c>
      <c r="B54" s="4" t="str">
        <f t="shared" si="7"/>
        <v>BXX_DTY1_DP</v>
      </c>
      <c r="C54" s="4" t="str">
        <f>$C$3 &amp; " 4 Start Level"</f>
        <v>BXX SLP Duty 4 Start Level</v>
      </c>
      <c r="D54" s="2">
        <f t="shared" si="10"/>
        <v>26</v>
      </c>
      <c r="E54" t="s">
        <v>14</v>
      </c>
      <c r="F54" t="s">
        <v>13</v>
      </c>
      <c r="G54" s="5">
        <v>900</v>
      </c>
      <c r="H54" t="s">
        <v>13</v>
      </c>
      <c r="I54" t="s">
        <v>14</v>
      </c>
      <c r="J54">
        <v>0</v>
      </c>
      <c r="K54">
        <v>0</v>
      </c>
      <c r="L54" t="s">
        <v>122</v>
      </c>
      <c r="M54">
        <v>0</v>
      </c>
      <c r="N54">
        <v>0</v>
      </c>
      <c r="O54">
        <v>100</v>
      </c>
      <c r="P54">
        <v>0</v>
      </c>
      <c r="Q54">
        <v>0</v>
      </c>
      <c r="R54" t="s">
        <v>54</v>
      </c>
      <c r="S54">
        <v>0</v>
      </c>
      <c r="T54">
        <v>1</v>
      </c>
      <c r="U54" t="s">
        <v>54</v>
      </c>
      <c r="V54">
        <v>0</v>
      </c>
      <c r="W54">
        <v>1</v>
      </c>
      <c r="X54" t="s">
        <v>54</v>
      </c>
      <c r="Y54">
        <v>0</v>
      </c>
      <c r="Z54">
        <v>1</v>
      </c>
      <c r="AA54" t="s">
        <v>54</v>
      </c>
      <c r="AB54">
        <v>0</v>
      </c>
      <c r="AC54">
        <v>1</v>
      </c>
      <c r="AD54" t="s">
        <v>54</v>
      </c>
      <c r="AE54">
        <v>0</v>
      </c>
      <c r="AF54">
        <v>1</v>
      </c>
      <c r="AG54" t="s">
        <v>54</v>
      </c>
      <c r="AH54">
        <v>0</v>
      </c>
      <c r="AI54">
        <v>1</v>
      </c>
      <c r="AJ54">
        <v>0</v>
      </c>
      <c r="AK54" t="s">
        <v>54</v>
      </c>
      <c r="AL54">
        <v>0</v>
      </c>
      <c r="AM54">
        <v>1</v>
      </c>
      <c r="AN54" t="s">
        <v>107</v>
      </c>
      <c r="AO54">
        <v>0</v>
      </c>
      <c r="AP54">
        <v>100</v>
      </c>
      <c r="AQ54" t="s">
        <v>108</v>
      </c>
      <c r="AR54" s="4" t="str">
        <f t="shared" si="5"/>
        <v>BXX</v>
      </c>
      <c r="AS54" t="s">
        <v>14</v>
      </c>
      <c r="AT54" s="4" t="str">
        <f>$A$3&amp;".DTY4_STS.AI_TS"</f>
        <v>BXX_DTY1_DP.DTY4_STS.AI_TS</v>
      </c>
      <c r="AU54" t="s">
        <v>14</v>
      </c>
      <c r="AV54" s="4" t="str">
        <f t="shared" si="11"/>
        <v>BXX SLP Duty 4 Start Level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</row>
    <row r="55" spans="1:56" x14ac:dyDescent="0.25">
      <c r="A55" s="4" t="str">
        <f>$A$3&amp;"1_AI_PS"</f>
        <v>BXX_DTY1_DP1_AI_PS</v>
      </c>
      <c r="B55" s="4" t="str">
        <f t="shared" si="7"/>
        <v>BXX_DTY1_DP</v>
      </c>
      <c r="C55" s="4" t="str">
        <f>$C$3 &amp; " 1 Stop Level"</f>
        <v>BXX SLP Duty 1 Stop Level</v>
      </c>
      <c r="D55" s="2">
        <f t="shared" si="10"/>
        <v>25</v>
      </c>
      <c r="E55" t="s">
        <v>14</v>
      </c>
      <c r="F55" t="s">
        <v>13</v>
      </c>
      <c r="G55" s="5">
        <v>900</v>
      </c>
      <c r="H55" t="s">
        <v>13</v>
      </c>
      <c r="I55" t="s">
        <v>14</v>
      </c>
      <c r="J55">
        <v>0</v>
      </c>
      <c r="K55">
        <v>0</v>
      </c>
      <c r="L55" t="s">
        <v>122</v>
      </c>
      <c r="M55">
        <v>0</v>
      </c>
      <c r="N55">
        <v>0</v>
      </c>
      <c r="O55">
        <v>100</v>
      </c>
      <c r="P55">
        <v>0</v>
      </c>
      <c r="Q55">
        <v>0</v>
      </c>
      <c r="R55" t="s">
        <v>54</v>
      </c>
      <c r="S55">
        <v>0</v>
      </c>
      <c r="T55">
        <v>1</v>
      </c>
      <c r="U55" t="s">
        <v>54</v>
      </c>
      <c r="V55">
        <v>0</v>
      </c>
      <c r="W55">
        <v>1</v>
      </c>
      <c r="X55" t="s">
        <v>54</v>
      </c>
      <c r="Y55">
        <v>0</v>
      </c>
      <c r="Z55">
        <v>1</v>
      </c>
      <c r="AA55" t="s">
        <v>54</v>
      </c>
      <c r="AB55">
        <v>0</v>
      </c>
      <c r="AC55">
        <v>1</v>
      </c>
      <c r="AD55" t="s">
        <v>54</v>
      </c>
      <c r="AE55">
        <v>0</v>
      </c>
      <c r="AF55">
        <v>1</v>
      </c>
      <c r="AG55" t="s">
        <v>54</v>
      </c>
      <c r="AH55">
        <v>0</v>
      </c>
      <c r="AI55">
        <v>1</v>
      </c>
      <c r="AJ55">
        <v>0</v>
      </c>
      <c r="AK55" t="s">
        <v>54</v>
      </c>
      <c r="AL55">
        <v>0</v>
      </c>
      <c r="AM55">
        <v>1</v>
      </c>
      <c r="AN55" t="s">
        <v>107</v>
      </c>
      <c r="AO55">
        <v>0</v>
      </c>
      <c r="AP55">
        <v>100</v>
      </c>
      <c r="AQ55" t="s">
        <v>108</v>
      </c>
      <c r="AR55" s="4" t="str">
        <f t="shared" si="5"/>
        <v>BXX</v>
      </c>
      <c r="AS55" t="s">
        <v>14</v>
      </c>
      <c r="AT55" s="4" t="str">
        <f>$A$3&amp;".DTY1_STS.AI_PS"</f>
        <v>BXX_DTY1_DP.DTY1_STS.AI_PS</v>
      </c>
      <c r="AU55" t="s">
        <v>14</v>
      </c>
      <c r="AV55" s="4" t="str">
        <f t="shared" si="11"/>
        <v>BXX SLP Duty 1 Stop Level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</row>
    <row r="56" spans="1:56" x14ac:dyDescent="0.25">
      <c r="A56" s="4" t="str">
        <f>$A$3&amp;"2_AI_PS"</f>
        <v>BXX_DTY1_DP2_AI_PS</v>
      </c>
      <c r="B56" s="4" t="str">
        <f t="shared" si="7"/>
        <v>BXX_DTY1_DP</v>
      </c>
      <c r="C56" s="4" t="str">
        <f>$C$3 &amp; " 2 Stop Level"</f>
        <v>BXX SLP Duty 2 Stop Level</v>
      </c>
      <c r="D56" s="2">
        <f t="shared" si="10"/>
        <v>25</v>
      </c>
      <c r="E56" t="s">
        <v>14</v>
      </c>
      <c r="F56" t="s">
        <v>13</v>
      </c>
      <c r="G56" s="5">
        <v>900</v>
      </c>
      <c r="H56" t="s">
        <v>13</v>
      </c>
      <c r="I56" t="s">
        <v>14</v>
      </c>
      <c r="J56">
        <v>0</v>
      </c>
      <c r="K56">
        <v>0</v>
      </c>
      <c r="L56" t="s">
        <v>122</v>
      </c>
      <c r="M56">
        <v>0</v>
      </c>
      <c r="N56">
        <v>0</v>
      </c>
      <c r="O56">
        <v>100</v>
      </c>
      <c r="P56">
        <v>0</v>
      </c>
      <c r="Q56">
        <v>0</v>
      </c>
      <c r="R56" t="s">
        <v>54</v>
      </c>
      <c r="S56">
        <v>0</v>
      </c>
      <c r="T56">
        <v>1</v>
      </c>
      <c r="U56" t="s">
        <v>54</v>
      </c>
      <c r="V56">
        <v>0</v>
      </c>
      <c r="W56">
        <v>1</v>
      </c>
      <c r="X56" t="s">
        <v>54</v>
      </c>
      <c r="Y56">
        <v>0</v>
      </c>
      <c r="Z56">
        <v>1</v>
      </c>
      <c r="AA56" t="s">
        <v>54</v>
      </c>
      <c r="AB56">
        <v>0</v>
      </c>
      <c r="AC56">
        <v>1</v>
      </c>
      <c r="AD56" t="s">
        <v>54</v>
      </c>
      <c r="AE56">
        <v>0</v>
      </c>
      <c r="AF56">
        <v>1</v>
      </c>
      <c r="AG56" t="s">
        <v>54</v>
      </c>
      <c r="AH56">
        <v>0</v>
      </c>
      <c r="AI56">
        <v>1</v>
      </c>
      <c r="AJ56">
        <v>0</v>
      </c>
      <c r="AK56" t="s">
        <v>54</v>
      </c>
      <c r="AL56">
        <v>0</v>
      </c>
      <c r="AM56">
        <v>1</v>
      </c>
      <c r="AN56" t="s">
        <v>107</v>
      </c>
      <c r="AO56">
        <v>0</v>
      </c>
      <c r="AP56">
        <v>100</v>
      </c>
      <c r="AQ56" t="s">
        <v>108</v>
      </c>
      <c r="AR56" s="4" t="str">
        <f t="shared" si="5"/>
        <v>BXX</v>
      </c>
      <c r="AS56" t="s">
        <v>14</v>
      </c>
      <c r="AT56" s="4" t="str">
        <f>$A$3&amp;".DTY2_STS.AI_PS"</f>
        <v>BXX_DTY1_DP.DTY2_STS.AI_PS</v>
      </c>
      <c r="AU56" t="s">
        <v>14</v>
      </c>
      <c r="AV56" s="4" t="str">
        <f t="shared" si="11"/>
        <v>BXX SLP Duty 2 Stop Level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</row>
    <row r="57" spans="1:56" x14ac:dyDescent="0.25">
      <c r="A57" s="6" t="str">
        <f>$A$3&amp;"3_AI_PS"</f>
        <v>BXX_DTY1_DP3_AI_PS</v>
      </c>
      <c r="B57" s="4" t="str">
        <f t="shared" si="7"/>
        <v>BXX_DTY1_DP</v>
      </c>
      <c r="C57" s="4" t="str">
        <f>$C$3 &amp; " 3 Stop Level"</f>
        <v>BXX SLP Duty 3 Stop Level</v>
      </c>
      <c r="D57" s="2">
        <f t="shared" si="10"/>
        <v>25</v>
      </c>
      <c r="E57" t="s">
        <v>14</v>
      </c>
      <c r="F57" t="s">
        <v>13</v>
      </c>
      <c r="G57" s="5">
        <v>900</v>
      </c>
      <c r="H57" t="s">
        <v>13</v>
      </c>
      <c r="I57" t="s">
        <v>14</v>
      </c>
      <c r="J57">
        <v>0</v>
      </c>
      <c r="K57">
        <v>0</v>
      </c>
      <c r="L57" t="s">
        <v>122</v>
      </c>
      <c r="M57">
        <v>0</v>
      </c>
      <c r="N57">
        <v>0</v>
      </c>
      <c r="O57">
        <v>100</v>
      </c>
      <c r="P57">
        <v>0</v>
      </c>
      <c r="Q57">
        <v>0</v>
      </c>
      <c r="R57" t="s">
        <v>54</v>
      </c>
      <c r="S57">
        <v>0</v>
      </c>
      <c r="T57">
        <v>1</v>
      </c>
      <c r="U57" t="s">
        <v>54</v>
      </c>
      <c r="V57">
        <v>0</v>
      </c>
      <c r="W57">
        <v>1</v>
      </c>
      <c r="X57" t="s">
        <v>54</v>
      </c>
      <c r="Y57">
        <v>0</v>
      </c>
      <c r="Z57">
        <v>1</v>
      </c>
      <c r="AA57" t="s">
        <v>54</v>
      </c>
      <c r="AB57">
        <v>0</v>
      </c>
      <c r="AC57">
        <v>1</v>
      </c>
      <c r="AD57" t="s">
        <v>54</v>
      </c>
      <c r="AE57">
        <v>0</v>
      </c>
      <c r="AF57">
        <v>1</v>
      </c>
      <c r="AG57" t="s">
        <v>54</v>
      </c>
      <c r="AH57">
        <v>0</v>
      </c>
      <c r="AI57">
        <v>1</v>
      </c>
      <c r="AJ57">
        <v>0</v>
      </c>
      <c r="AK57" t="s">
        <v>54</v>
      </c>
      <c r="AL57">
        <v>0</v>
      </c>
      <c r="AM57">
        <v>1</v>
      </c>
      <c r="AN57" t="s">
        <v>107</v>
      </c>
      <c r="AO57">
        <v>0</v>
      </c>
      <c r="AP57">
        <v>100</v>
      </c>
      <c r="AQ57" t="s">
        <v>108</v>
      </c>
      <c r="AR57" s="4" t="str">
        <f t="shared" si="5"/>
        <v>BXX</v>
      </c>
      <c r="AS57" t="s">
        <v>14</v>
      </c>
      <c r="AT57" s="4" t="str">
        <f>$A$3&amp;".DTY3_STS.AI_PS"</f>
        <v>BXX_DTY1_DP.DTY3_STS.AI_PS</v>
      </c>
      <c r="AU57" t="s">
        <v>14</v>
      </c>
      <c r="AV57" s="4" t="str">
        <f t="shared" si="11"/>
        <v>BXX SLP Duty 3 Stop Level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</row>
    <row r="58" spans="1:56" x14ac:dyDescent="0.25">
      <c r="A58" s="6" t="str">
        <f>$A$3&amp;"4_AI_PS"</f>
        <v>BXX_DTY1_DP4_AI_PS</v>
      </c>
      <c r="B58" s="4" t="str">
        <f t="shared" si="7"/>
        <v>BXX_DTY1_DP</v>
      </c>
      <c r="C58" s="4" t="str">
        <f>$C$3 &amp; " 4 Stop Level"</f>
        <v>BXX SLP Duty 4 Stop Level</v>
      </c>
      <c r="D58" s="2">
        <f t="shared" si="10"/>
        <v>25</v>
      </c>
      <c r="E58" t="s">
        <v>14</v>
      </c>
      <c r="F58" t="s">
        <v>13</v>
      </c>
      <c r="G58" s="5">
        <v>900</v>
      </c>
      <c r="H58" t="s">
        <v>13</v>
      </c>
      <c r="I58" t="s">
        <v>14</v>
      </c>
      <c r="J58">
        <v>0</v>
      </c>
      <c r="K58">
        <v>0</v>
      </c>
      <c r="L58" t="s">
        <v>122</v>
      </c>
      <c r="M58">
        <v>0</v>
      </c>
      <c r="N58">
        <v>0</v>
      </c>
      <c r="O58">
        <v>100</v>
      </c>
      <c r="P58">
        <v>0</v>
      </c>
      <c r="Q58">
        <v>0</v>
      </c>
      <c r="R58" t="s">
        <v>54</v>
      </c>
      <c r="S58">
        <v>0</v>
      </c>
      <c r="T58">
        <v>1</v>
      </c>
      <c r="U58" t="s">
        <v>54</v>
      </c>
      <c r="V58">
        <v>0</v>
      </c>
      <c r="W58">
        <v>1</v>
      </c>
      <c r="X58" t="s">
        <v>54</v>
      </c>
      <c r="Y58">
        <v>0</v>
      </c>
      <c r="Z58">
        <v>1</v>
      </c>
      <c r="AA58" t="s">
        <v>54</v>
      </c>
      <c r="AB58">
        <v>0</v>
      </c>
      <c r="AC58">
        <v>1</v>
      </c>
      <c r="AD58" t="s">
        <v>54</v>
      </c>
      <c r="AE58">
        <v>0</v>
      </c>
      <c r="AF58">
        <v>1</v>
      </c>
      <c r="AG58" t="s">
        <v>54</v>
      </c>
      <c r="AH58">
        <v>0</v>
      </c>
      <c r="AI58">
        <v>1</v>
      </c>
      <c r="AJ58">
        <v>0</v>
      </c>
      <c r="AK58" t="s">
        <v>54</v>
      </c>
      <c r="AL58">
        <v>0</v>
      </c>
      <c r="AM58">
        <v>1</v>
      </c>
      <c r="AN58" t="s">
        <v>107</v>
      </c>
      <c r="AO58">
        <v>0</v>
      </c>
      <c r="AP58">
        <v>100</v>
      </c>
      <c r="AQ58" t="s">
        <v>108</v>
      </c>
      <c r="AR58" s="4" t="str">
        <f t="shared" si="5"/>
        <v>BXX</v>
      </c>
      <c r="AS58" t="s">
        <v>14</v>
      </c>
      <c r="AT58" s="4" t="str">
        <f>$A$3&amp;".DTY4_STS.AI_PS"</f>
        <v>BXX_DTY1_DP.DTY4_STS.AI_PS</v>
      </c>
      <c r="AU58" t="s">
        <v>14</v>
      </c>
      <c r="AV58" s="4" t="str">
        <f t="shared" si="11"/>
        <v>BXX SLP Duty 4 Stop Level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</row>
    <row r="59" spans="1:56" x14ac:dyDescent="0.25">
      <c r="A59" s="4" t="str">
        <f>$A$3&amp;"2_AI_XD"</f>
        <v>BXX_DTY1_DP2_AI_XD</v>
      </c>
      <c r="B59" s="4" t="str">
        <f t="shared" si="7"/>
        <v>BXX_DTY1_DP</v>
      </c>
      <c r="C59" s="4" t="str">
        <f>$C$3 &amp; " 2 Level for Max. Speed"</f>
        <v>BXX SLP Duty 2 Level for Max. Speed</v>
      </c>
      <c r="D59" s="2">
        <f t="shared" si="10"/>
        <v>35</v>
      </c>
      <c r="E59" t="s">
        <v>14</v>
      </c>
      <c r="F59" t="s">
        <v>13</v>
      </c>
      <c r="G59" s="5">
        <v>900</v>
      </c>
      <c r="H59" t="s">
        <v>13</v>
      </c>
      <c r="I59" t="s">
        <v>14</v>
      </c>
      <c r="J59">
        <v>0</v>
      </c>
      <c r="K59">
        <v>0</v>
      </c>
      <c r="L59" t="s">
        <v>122</v>
      </c>
      <c r="M59">
        <v>0</v>
      </c>
      <c r="N59">
        <v>0</v>
      </c>
      <c r="O59">
        <v>100</v>
      </c>
      <c r="P59">
        <v>0</v>
      </c>
      <c r="Q59">
        <v>0</v>
      </c>
      <c r="R59" t="s">
        <v>54</v>
      </c>
      <c r="S59">
        <v>0</v>
      </c>
      <c r="T59">
        <v>1</v>
      </c>
      <c r="U59" t="s">
        <v>54</v>
      </c>
      <c r="V59">
        <v>0</v>
      </c>
      <c r="W59">
        <v>1</v>
      </c>
      <c r="X59" t="s">
        <v>54</v>
      </c>
      <c r="Y59">
        <v>0</v>
      </c>
      <c r="Z59">
        <v>1</v>
      </c>
      <c r="AA59" t="s">
        <v>54</v>
      </c>
      <c r="AB59">
        <v>0</v>
      </c>
      <c r="AC59">
        <v>1</v>
      </c>
      <c r="AD59" t="s">
        <v>54</v>
      </c>
      <c r="AE59">
        <v>0</v>
      </c>
      <c r="AF59">
        <v>1</v>
      </c>
      <c r="AG59" t="s">
        <v>54</v>
      </c>
      <c r="AH59">
        <v>0</v>
      </c>
      <c r="AI59">
        <v>1</v>
      </c>
      <c r="AJ59">
        <v>0</v>
      </c>
      <c r="AK59" t="s">
        <v>54</v>
      </c>
      <c r="AL59">
        <v>0</v>
      </c>
      <c r="AM59">
        <v>1</v>
      </c>
      <c r="AN59" t="s">
        <v>107</v>
      </c>
      <c r="AO59">
        <v>0</v>
      </c>
      <c r="AP59">
        <v>100</v>
      </c>
      <c r="AQ59" t="s">
        <v>108</v>
      </c>
      <c r="AR59" s="4" t="str">
        <f t="shared" si="5"/>
        <v>BXX</v>
      </c>
      <c r="AS59" t="s">
        <v>14</v>
      </c>
      <c r="AT59" s="4" t="str">
        <f>$A$3&amp;".DTY2_STS.AI_XD"</f>
        <v>BXX_DTY1_DP.DTY2_STS.AI_XD</v>
      </c>
      <c r="AU59" t="s">
        <v>14</v>
      </c>
      <c r="AV59" s="4" t="str">
        <f t="shared" si="11"/>
        <v>BXX SLP Duty 2 Level for Max. Speed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</row>
    <row r="60" spans="1:56" x14ac:dyDescent="0.25">
      <c r="A60" s="6" t="str">
        <f>$A$3&amp;"4_AI_XD"</f>
        <v>BXX_DTY1_DP4_AI_XD</v>
      </c>
      <c r="B60" s="4" t="str">
        <f t="shared" si="7"/>
        <v>BXX_DTY1_DP</v>
      </c>
      <c r="C60" s="4" t="str">
        <f>$C$3 &amp; " 4 Level for Max. Speed"</f>
        <v>BXX SLP Duty 4 Level for Max. Speed</v>
      </c>
      <c r="D60" s="2">
        <f t="shared" si="10"/>
        <v>35</v>
      </c>
      <c r="E60" t="s">
        <v>14</v>
      </c>
      <c r="F60" t="s">
        <v>13</v>
      </c>
      <c r="G60" s="5">
        <v>900</v>
      </c>
      <c r="H60" t="s">
        <v>13</v>
      </c>
      <c r="I60" t="s">
        <v>14</v>
      </c>
      <c r="J60">
        <v>0</v>
      </c>
      <c r="K60">
        <v>0</v>
      </c>
      <c r="L60" t="s">
        <v>122</v>
      </c>
      <c r="M60">
        <v>0</v>
      </c>
      <c r="N60">
        <v>0</v>
      </c>
      <c r="O60">
        <v>100</v>
      </c>
      <c r="P60">
        <v>0</v>
      </c>
      <c r="Q60">
        <v>0</v>
      </c>
      <c r="R60" t="s">
        <v>54</v>
      </c>
      <c r="S60">
        <v>0</v>
      </c>
      <c r="T60">
        <v>1</v>
      </c>
      <c r="U60" t="s">
        <v>54</v>
      </c>
      <c r="V60">
        <v>0</v>
      </c>
      <c r="W60">
        <v>1</v>
      </c>
      <c r="X60" t="s">
        <v>54</v>
      </c>
      <c r="Y60">
        <v>0</v>
      </c>
      <c r="Z60">
        <v>1</v>
      </c>
      <c r="AA60" t="s">
        <v>54</v>
      </c>
      <c r="AB60">
        <v>0</v>
      </c>
      <c r="AC60">
        <v>1</v>
      </c>
      <c r="AD60" t="s">
        <v>54</v>
      </c>
      <c r="AE60">
        <v>0</v>
      </c>
      <c r="AF60">
        <v>1</v>
      </c>
      <c r="AG60" t="s">
        <v>54</v>
      </c>
      <c r="AH60">
        <v>0</v>
      </c>
      <c r="AI60">
        <v>1</v>
      </c>
      <c r="AJ60">
        <v>0</v>
      </c>
      <c r="AK60" t="s">
        <v>54</v>
      </c>
      <c r="AL60">
        <v>0</v>
      </c>
      <c r="AM60">
        <v>1</v>
      </c>
      <c r="AN60" t="s">
        <v>107</v>
      </c>
      <c r="AO60">
        <v>0</v>
      </c>
      <c r="AP60">
        <v>100</v>
      </c>
      <c r="AQ60" t="s">
        <v>108</v>
      </c>
      <c r="AR60" s="4" t="str">
        <f t="shared" si="5"/>
        <v>BXX</v>
      </c>
      <c r="AS60" t="s">
        <v>14</v>
      </c>
      <c r="AT60" s="4" t="str">
        <f>$A$3&amp;".DTY4_STS.AI_XD"</f>
        <v>BXX_DTY1_DP.DTY4_STS.AI_XD</v>
      </c>
      <c r="AU60" t="s">
        <v>14</v>
      </c>
      <c r="AV60" s="4" t="str">
        <f t="shared" si="11"/>
        <v>BXX SLP Duty 4 Level for Max. Speed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</row>
    <row r="61" spans="1:56" x14ac:dyDescent="0.25">
      <c r="A61" s="4" t="str">
        <f>$A$3&amp;"2_AO_XD"</f>
        <v>BXX_DTY1_DP2_AO_XD</v>
      </c>
      <c r="B61" s="4" t="str">
        <f t="shared" si="7"/>
        <v>BXX_DTY1_DP</v>
      </c>
      <c r="C61" s="4" t="str">
        <f>$C$3 &amp; " 2 Level for Max. Speed Entry"</f>
        <v>BXX SLP Duty 2 Level for Max. Speed Entry</v>
      </c>
      <c r="D61" s="2">
        <f t="shared" si="10"/>
        <v>41</v>
      </c>
      <c r="E61" t="s">
        <v>14</v>
      </c>
      <c r="F61" t="s">
        <v>13</v>
      </c>
      <c r="G61" s="5">
        <v>900</v>
      </c>
      <c r="H61" t="s">
        <v>13</v>
      </c>
      <c r="I61" t="s">
        <v>14</v>
      </c>
      <c r="J61">
        <v>0</v>
      </c>
      <c r="K61">
        <v>0</v>
      </c>
      <c r="L61" t="s">
        <v>122</v>
      </c>
      <c r="M61">
        <v>0</v>
      </c>
      <c r="N61">
        <v>0</v>
      </c>
      <c r="O61">
        <v>100</v>
      </c>
      <c r="P61">
        <v>0</v>
      </c>
      <c r="Q61">
        <v>0</v>
      </c>
      <c r="R61" t="s">
        <v>54</v>
      </c>
      <c r="S61">
        <v>0</v>
      </c>
      <c r="T61">
        <v>1</v>
      </c>
      <c r="U61" t="s">
        <v>54</v>
      </c>
      <c r="V61">
        <v>0</v>
      </c>
      <c r="W61">
        <v>1</v>
      </c>
      <c r="X61" t="s">
        <v>54</v>
      </c>
      <c r="Y61">
        <v>0</v>
      </c>
      <c r="Z61">
        <v>1</v>
      </c>
      <c r="AA61" t="s">
        <v>54</v>
      </c>
      <c r="AB61">
        <v>0</v>
      </c>
      <c r="AC61">
        <v>1</v>
      </c>
      <c r="AD61" t="s">
        <v>54</v>
      </c>
      <c r="AE61">
        <v>0</v>
      </c>
      <c r="AF61">
        <v>1</v>
      </c>
      <c r="AG61" t="s">
        <v>54</v>
      </c>
      <c r="AH61">
        <v>0</v>
      </c>
      <c r="AI61">
        <v>1</v>
      </c>
      <c r="AJ61">
        <v>0</v>
      </c>
      <c r="AK61" t="s">
        <v>54</v>
      </c>
      <c r="AL61">
        <v>0</v>
      </c>
      <c r="AM61">
        <v>1</v>
      </c>
      <c r="AN61" t="s">
        <v>107</v>
      </c>
      <c r="AO61">
        <v>0</v>
      </c>
      <c r="AP61">
        <v>100</v>
      </c>
      <c r="AQ61" t="s">
        <v>108</v>
      </c>
      <c r="AR61" s="4" t="str">
        <f t="shared" si="5"/>
        <v>BXX</v>
      </c>
      <c r="AS61" t="s">
        <v>14</v>
      </c>
      <c r="AT61" s="4" t="str">
        <f>$A$3&amp;".DTY2_STS.AO_XD"</f>
        <v>BXX_DTY1_DP.DTY2_STS.AO_XD</v>
      </c>
      <c r="AU61" t="s">
        <v>14</v>
      </c>
      <c r="AV61" s="4" t="str">
        <f t="shared" si="11"/>
        <v>BXX SLP Duty 2 Level for Max. Speed Entry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</row>
    <row r="62" spans="1:56" x14ac:dyDescent="0.25">
      <c r="A62" s="6" t="str">
        <f>$A$3&amp;"4_AO_XD"</f>
        <v>BXX_DTY1_DP4_AO_XD</v>
      </c>
      <c r="B62" s="4" t="str">
        <f t="shared" si="7"/>
        <v>BXX_DTY1_DP</v>
      </c>
      <c r="C62" s="4" t="str">
        <f>$C$3 &amp; " 4 Level for Max. Speed Entry"</f>
        <v>BXX SLP Duty 4 Level for Max. Speed Entry</v>
      </c>
      <c r="D62" s="2">
        <f t="shared" si="10"/>
        <v>41</v>
      </c>
      <c r="E62" t="s">
        <v>14</v>
      </c>
      <c r="F62" t="s">
        <v>13</v>
      </c>
      <c r="G62" s="5">
        <v>900</v>
      </c>
      <c r="H62" t="s">
        <v>13</v>
      </c>
      <c r="I62" t="s">
        <v>14</v>
      </c>
      <c r="J62">
        <v>0</v>
      </c>
      <c r="K62">
        <v>0</v>
      </c>
      <c r="L62" t="s">
        <v>122</v>
      </c>
      <c r="M62">
        <v>0</v>
      </c>
      <c r="N62">
        <v>0</v>
      </c>
      <c r="O62">
        <v>100</v>
      </c>
      <c r="P62">
        <v>0</v>
      </c>
      <c r="Q62">
        <v>0</v>
      </c>
      <c r="R62" t="s">
        <v>54</v>
      </c>
      <c r="S62">
        <v>0</v>
      </c>
      <c r="T62">
        <v>1</v>
      </c>
      <c r="U62" t="s">
        <v>54</v>
      </c>
      <c r="V62">
        <v>0</v>
      </c>
      <c r="W62">
        <v>1</v>
      </c>
      <c r="X62" t="s">
        <v>54</v>
      </c>
      <c r="Y62">
        <v>0</v>
      </c>
      <c r="Z62">
        <v>1</v>
      </c>
      <c r="AA62" t="s">
        <v>54</v>
      </c>
      <c r="AB62">
        <v>0</v>
      </c>
      <c r="AC62">
        <v>1</v>
      </c>
      <c r="AD62" t="s">
        <v>54</v>
      </c>
      <c r="AE62">
        <v>0</v>
      </c>
      <c r="AF62">
        <v>1</v>
      </c>
      <c r="AG62" t="s">
        <v>54</v>
      </c>
      <c r="AH62">
        <v>0</v>
      </c>
      <c r="AI62">
        <v>1</v>
      </c>
      <c r="AJ62">
        <v>0</v>
      </c>
      <c r="AK62" t="s">
        <v>54</v>
      </c>
      <c r="AL62">
        <v>0</v>
      </c>
      <c r="AM62">
        <v>1</v>
      </c>
      <c r="AN62" t="s">
        <v>107</v>
      </c>
      <c r="AO62">
        <v>0</v>
      </c>
      <c r="AP62">
        <v>100</v>
      </c>
      <c r="AQ62" t="s">
        <v>108</v>
      </c>
      <c r="AR62" s="4" t="str">
        <f t="shared" si="5"/>
        <v>BXX</v>
      </c>
      <c r="AS62" t="s">
        <v>14</v>
      </c>
      <c r="AT62" s="4" t="str">
        <f>$A$3&amp;".DTY4_STS.AO_XD"</f>
        <v>BXX_DTY1_DP.DTY4_STS.AO_XD</v>
      </c>
      <c r="AU62" t="s">
        <v>14</v>
      </c>
      <c r="AV62" s="4" t="str">
        <f t="shared" si="11"/>
        <v>BXX SLP Duty 4 Level for Max. Speed Entry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</row>
    <row r="63" spans="1:56" x14ac:dyDescent="0.25">
      <c r="A63" s="4" t="str">
        <f>$A$3&amp;"2_AI_ND"</f>
        <v>BXX_DTY1_DP2_AI_ND</v>
      </c>
      <c r="B63" s="4" t="str">
        <f t="shared" si="7"/>
        <v>BXX_DTY1_DP</v>
      </c>
      <c r="C63" s="4" t="str">
        <f>$C$3 &amp; " 2 Level for Min. Speed"</f>
        <v>BXX SLP Duty 2 Level for Min. Speed</v>
      </c>
      <c r="D63" s="2">
        <f t="shared" si="10"/>
        <v>35</v>
      </c>
      <c r="E63" t="s">
        <v>14</v>
      </c>
      <c r="F63" t="s">
        <v>13</v>
      </c>
      <c r="G63" s="5">
        <v>900</v>
      </c>
      <c r="H63" t="s">
        <v>13</v>
      </c>
      <c r="I63" t="s">
        <v>14</v>
      </c>
      <c r="J63">
        <v>0</v>
      </c>
      <c r="K63">
        <v>0</v>
      </c>
      <c r="L63" t="s">
        <v>122</v>
      </c>
      <c r="M63">
        <v>0</v>
      </c>
      <c r="N63">
        <v>0</v>
      </c>
      <c r="O63">
        <v>100</v>
      </c>
      <c r="P63">
        <v>0</v>
      </c>
      <c r="Q63">
        <v>0</v>
      </c>
      <c r="R63" t="s">
        <v>54</v>
      </c>
      <c r="S63">
        <v>0</v>
      </c>
      <c r="T63">
        <v>1</v>
      </c>
      <c r="U63" t="s">
        <v>54</v>
      </c>
      <c r="V63">
        <v>0</v>
      </c>
      <c r="W63">
        <v>1</v>
      </c>
      <c r="X63" t="s">
        <v>54</v>
      </c>
      <c r="Y63">
        <v>0</v>
      </c>
      <c r="Z63">
        <v>1</v>
      </c>
      <c r="AA63" t="s">
        <v>54</v>
      </c>
      <c r="AB63">
        <v>0</v>
      </c>
      <c r="AC63">
        <v>1</v>
      </c>
      <c r="AD63" t="s">
        <v>54</v>
      </c>
      <c r="AE63">
        <v>0</v>
      </c>
      <c r="AF63">
        <v>1</v>
      </c>
      <c r="AG63" t="s">
        <v>54</v>
      </c>
      <c r="AH63">
        <v>0</v>
      </c>
      <c r="AI63">
        <v>1</v>
      </c>
      <c r="AJ63">
        <v>0</v>
      </c>
      <c r="AK63" t="s">
        <v>54</v>
      </c>
      <c r="AL63">
        <v>0</v>
      </c>
      <c r="AM63">
        <v>1</v>
      </c>
      <c r="AN63" t="s">
        <v>107</v>
      </c>
      <c r="AO63">
        <v>0</v>
      </c>
      <c r="AP63">
        <v>100</v>
      </c>
      <c r="AQ63" t="s">
        <v>108</v>
      </c>
      <c r="AR63" s="4" t="str">
        <f t="shared" si="5"/>
        <v>BXX</v>
      </c>
      <c r="AS63" t="s">
        <v>14</v>
      </c>
      <c r="AT63" s="4" t="str">
        <f>$A$3&amp;".DTY2_STS.AI_ND"</f>
        <v>BXX_DTY1_DP.DTY2_STS.AI_ND</v>
      </c>
      <c r="AU63" t="s">
        <v>14</v>
      </c>
      <c r="AV63" s="4" t="str">
        <f t="shared" si="11"/>
        <v>BXX SLP Duty 2 Level for Min. Speed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</row>
    <row r="64" spans="1:56" x14ac:dyDescent="0.25">
      <c r="A64" s="6" t="str">
        <f>$A$3&amp;"4_AI_ND"</f>
        <v>BXX_DTY1_DP4_AI_ND</v>
      </c>
      <c r="B64" s="4" t="str">
        <f t="shared" si="7"/>
        <v>BXX_DTY1_DP</v>
      </c>
      <c r="C64" s="4" t="str">
        <f>$C$3 &amp; " 4 Level for Min. Speed"</f>
        <v>BXX SLP Duty 4 Level for Min. Speed</v>
      </c>
      <c r="D64" s="2">
        <f t="shared" si="10"/>
        <v>35</v>
      </c>
      <c r="E64" t="s">
        <v>14</v>
      </c>
      <c r="F64" t="s">
        <v>13</v>
      </c>
      <c r="G64" s="5">
        <v>900</v>
      </c>
      <c r="H64" t="s">
        <v>13</v>
      </c>
      <c r="I64" t="s">
        <v>14</v>
      </c>
      <c r="J64">
        <v>0</v>
      </c>
      <c r="K64">
        <v>0</v>
      </c>
      <c r="L64" t="s">
        <v>122</v>
      </c>
      <c r="M64">
        <v>0</v>
      </c>
      <c r="N64">
        <v>0</v>
      </c>
      <c r="O64">
        <v>100</v>
      </c>
      <c r="P64">
        <v>0</v>
      </c>
      <c r="Q64">
        <v>0</v>
      </c>
      <c r="R64" t="s">
        <v>54</v>
      </c>
      <c r="S64">
        <v>0</v>
      </c>
      <c r="T64">
        <v>1</v>
      </c>
      <c r="U64" t="s">
        <v>54</v>
      </c>
      <c r="V64">
        <v>0</v>
      </c>
      <c r="W64">
        <v>1</v>
      </c>
      <c r="X64" t="s">
        <v>54</v>
      </c>
      <c r="Y64">
        <v>0</v>
      </c>
      <c r="Z64">
        <v>1</v>
      </c>
      <c r="AA64" t="s">
        <v>54</v>
      </c>
      <c r="AB64">
        <v>0</v>
      </c>
      <c r="AC64">
        <v>1</v>
      </c>
      <c r="AD64" t="s">
        <v>54</v>
      </c>
      <c r="AE64">
        <v>0</v>
      </c>
      <c r="AF64">
        <v>1</v>
      </c>
      <c r="AG64" t="s">
        <v>54</v>
      </c>
      <c r="AH64">
        <v>0</v>
      </c>
      <c r="AI64">
        <v>1</v>
      </c>
      <c r="AJ64">
        <v>0</v>
      </c>
      <c r="AK64" t="s">
        <v>54</v>
      </c>
      <c r="AL64">
        <v>0</v>
      </c>
      <c r="AM64">
        <v>1</v>
      </c>
      <c r="AN64" t="s">
        <v>107</v>
      </c>
      <c r="AO64">
        <v>0</v>
      </c>
      <c r="AP64">
        <v>100</v>
      </c>
      <c r="AQ64" t="s">
        <v>108</v>
      </c>
      <c r="AR64" s="4" t="str">
        <f t="shared" si="5"/>
        <v>BXX</v>
      </c>
      <c r="AS64" t="s">
        <v>14</v>
      </c>
      <c r="AT64" s="4" t="str">
        <f>$A$3&amp;".DTY4_STS.AI_ND"</f>
        <v>BXX_DTY1_DP.DTY4_STS.AI_ND</v>
      </c>
      <c r="AU64" t="s">
        <v>14</v>
      </c>
      <c r="AV64" s="4" t="str">
        <f t="shared" si="11"/>
        <v>BXX SLP Duty 4 Level for Min. Speed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</row>
    <row r="65" spans="1:56" x14ac:dyDescent="0.25">
      <c r="A65" s="4" t="str">
        <f>$A$3&amp;"2_AO_ND"</f>
        <v>BXX_DTY1_DP2_AO_ND</v>
      </c>
      <c r="B65" s="4" t="str">
        <f t="shared" si="7"/>
        <v>BXX_DTY1_DP</v>
      </c>
      <c r="C65" s="4" t="str">
        <f>$C$3 &amp; " 2 Level for Min. Speed Entry"</f>
        <v>BXX SLP Duty 2 Level for Min. Speed Entry</v>
      </c>
      <c r="D65" s="2">
        <f t="shared" si="10"/>
        <v>41</v>
      </c>
      <c r="E65" t="s">
        <v>14</v>
      </c>
      <c r="F65" t="s">
        <v>13</v>
      </c>
      <c r="G65" s="5">
        <v>900</v>
      </c>
      <c r="H65" t="s">
        <v>13</v>
      </c>
      <c r="I65" t="s">
        <v>14</v>
      </c>
      <c r="J65">
        <v>0</v>
      </c>
      <c r="K65">
        <v>0</v>
      </c>
      <c r="L65" t="s">
        <v>122</v>
      </c>
      <c r="M65">
        <v>0</v>
      </c>
      <c r="N65">
        <v>0</v>
      </c>
      <c r="O65">
        <v>100</v>
      </c>
      <c r="P65">
        <v>0</v>
      </c>
      <c r="Q65">
        <v>0</v>
      </c>
      <c r="R65" t="s">
        <v>54</v>
      </c>
      <c r="S65">
        <v>0</v>
      </c>
      <c r="T65">
        <v>1</v>
      </c>
      <c r="U65" t="s">
        <v>54</v>
      </c>
      <c r="V65">
        <v>0</v>
      </c>
      <c r="W65">
        <v>1</v>
      </c>
      <c r="X65" t="s">
        <v>54</v>
      </c>
      <c r="Y65">
        <v>0</v>
      </c>
      <c r="Z65">
        <v>1</v>
      </c>
      <c r="AA65" t="s">
        <v>54</v>
      </c>
      <c r="AB65">
        <v>0</v>
      </c>
      <c r="AC65">
        <v>1</v>
      </c>
      <c r="AD65" t="s">
        <v>54</v>
      </c>
      <c r="AE65">
        <v>0</v>
      </c>
      <c r="AF65">
        <v>1</v>
      </c>
      <c r="AG65" t="s">
        <v>54</v>
      </c>
      <c r="AH65">
        <v>0</v>
      </c>
      <c r="AI65">
        <v>1</v>
      </c>
      <c r="AJ65">
        <v>0</v>
      </c>
      <c r="AK65" t="s">
        <v>54</v>
      </c>
      <c r="AL65">
        <v>0</v>
      </c>
      <c r="AM65">
        <v>1</v>
      </c>
      <c r="AN65" t="s">
        <v>107</v>
      </c>
      <c r="AO65">
        <v>0</v>
      </c>
      <c r="AP65">
        <v>100</v>
      </c>
      <c r="AQ65" t="s">
        <v>108</v>
      </c>
      <c r="AR65" s="4" t="str">
        <f t="shared" si="5"/>
        <v>BXX</v>
      </c>
      <c r="AS65" t="s">
        <v>14</v>
      </c>
      <c r="AT65" s="4" t="str">
        <f>$A$3&amp;".DTY2_STS.AO_ND"</f>
        <v>BXX_DTY1_DP.DTY2_STS.AO_ND</v>
      </c>
      <c r="AU65" t="s">
        <v>14</v>
      </c>
      <c r="AV65" s="4" t="str">
        <f t="shared" si="11"/>
        <v>BXX SLP Duty 2 Level for Min. Speed Entry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</row>
    <row r="66" spans="1:56" x14ac:dyDescent="0.25">
      <c r="A66" s="6" t="str">
        <f>$A$3&amp;"4_AO_ND"</f>
        <v>BXX_DTY1_DP4_AO_ND</v>
      </c>
      <c r="B66" s="4" t="str">
        <f t="shared" si="7"/>
        <v>BXX_DTY1_DP</v>
      </c>
      <c r="C66" s="4" t="str">
        <f>$C$3 &amp; " 4 Level for Min. Speed Entry"</f>
        <v>BXX SLP Duty 4 Level for Min. Speed Entry</v>
      </c>
      <c r="D66" s="2">
        <f t="shared" si="10"/>
        <v>41</v>
      </c>
      <c r="E66" t="s">
        <v>14</v>
      </c>
      <c r="F66" t="s">
        <v>13</v>
      </c>
      <c r="G66" s="5">
        <v>900</v>
      </c>
      <c r="H66" t="s">
        <v>13</v>
      </c>
      <c r="I66" t="s">
        <v>14</v>
      </c>
      <c r="J66">
        <v>0</v>
      </c>
      <c r="K66">
        <v>0</v>
      </c>
      <c r="L66" t="s">
        <v>122</v>
      </c>
      <c r="M66">
        <v>0</v>
      </c>
      <c r="N66">
        <v>0</v>
      </c>
      <c r="O66">
        <v>100</v>
      </c>
      <c r="P66">
        <v>0</v>
      </c>
      <c r="Q66">
        <v>0</v>
      </c>
      <c r="R66" t="s">
        <v>54</v>
      </c>
      <c r="S66">
        <v>0</v>
      </c>
      <c r="T66">
        <v>1</v>
      </c>
      <c r="U66" t="s">
        <v>54</v>
      </c>
      <c r="V66">
        <v>0</v>
      </c>
      <c r="W66">
        <v>1</v>
      </c>
      <c r="X66" t="s">
        <v>54</v>
      </c>
      <c r="Y66">
        <v>0</v>
      </c>
      <c r="Z66">
        <v>1</v>
      </c>
      <c r="AA66" t="s">
        <v>54</v>
      </c>
      <c r="AB66">
        <v>0</v>
      </c>
      <c r="AC66">
        <v>1</v>
      </c>
      <c r="AD66" t="s">
        <v>54</v>
      </c>
      <c r="AE66">
        <v>0</v>
      </c>
      <c r="AF66">
        <v>1</v>
      </c>
      <c r="AG66" t="s">
        <v>54</v>
      </c>
      <c r="AH66">
        <v>0</v>
      </c>
      <c r="AI66">
        <v>1</v>
      </c>
      <c r="AJ66">
        <v>0</v>
      </c>
      <c r="AK66" t="s">
        <v>54</v>
      </c>
      <c r="AL66">
        <v>0</v>
      </c>
      <c r="AM66">
        <v>1</v>
      </c>
      <c r="AN66" t="s">
        <v>107</v>
      </c>
      <c r="AO66">
        <v>0</v>
      </c>
      <c r="AP66">
        <v>100</v>
      </c>
      <c r="AQ66" t="s">
        <v>108</v>
      </c>
      <c r="AR66" s="4" t="str">
        <f t="shared" si="5"/>
        <v>BXX</v>
      </c>
      <c r="AS66" t="s">
        <v>14</v>
      </c>
      <c r="AT66" s="4" t="str">
        <f>$A$3&amp;".DTY4_STS.AO_ND"</f>
        <v>BXX_DTY1_DP.DTY4_STS.AO_ND</v>
      </c>
      <c r="AU66" t="s">
        <v>14</v>
      </c>
      <c r="AV66" s="4" t="str">
        <f t="shared" si="11"/>
        <v>BXX SLP Duty 4 Level for Min. Speed Entry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</row>
    <row r="67" spans="1:56" x14ac:dyDescent="0.25">
      <c r="A67" t="s">
        <v>123</v>
      </c>
      <c r="B67" t="s">
        <v>16</v>
      </c>
      <c r="C67" t="s">
        <v>17</v>
      </c>
      <c r="D67" s="2">
        <f t="shared" si="10"/>
        <v>7</v>
      </c>
      <c r="E67" t="s">
        <v>39</v>
      </c>
      <c r="F67" t="s">
        <v>18</v>
      </c>
      <c r="G67" t="s">
        <v>19</v>
      </c>
      <c r="H67" t="s">
        <v>40</v>
      </c>
      <c r="I67" t="s">
        <v>124</v>
      </c>
      <c r="J67" t="s">
        <v>125</v>
      </c>
      <c r="K67" t="s">
        <v>51</v>
      </c>
      <c r="L67" t="s">
        <v>53</v>
      </c>
    </row>
    <row r="68" spans="1:56" x14ac:dyDescent="0.25">
      <c r="A68" s="5" t="s">
        <v>449</v>
      </c>
      <c r="B68" t="s">
        <v>127</v>
      </c>
      <c r="C68" t="s">
        <v>351</v>
      </c>
      <c r="D68" s="2">
        <f t="shared" si="10"/>
        <v>13</v>
      </c>
      <c r="E68" t="s">
        <v>14</v>
      </c>
      <c r="F68" t="s">
        <v>14</v>
      </c>
      <c r="G68">
        <v>0</v>
      </c>
      <c r="H68" t="s">
        <v>14</v>
      </c>
      <c r="I68">
        <v>64</v>
      </c>
    </row>
    <row r="69" spans="1:56" x14ac:dyDescent="0.25">
      <c r="A69" s="5" t="s">
        <v>450</v>
      </c>
      <c r="B69" t="s">
        <v>127</v>
      </c>
      <c r="C69" t="s">
        <v>352</v>
      </c>
      <c r="D69" s="2">
        <f t="shared" si="10"/>
        <v>13</v>
      </c>
      <c r="E69" t="s">
        <v>14</v>
      </c>
      <c r="F69" t="s">
        <v>14</v>
      </c>
      <c r="G69">
        <v>0</v>
      </c>
      <c r="H69" t="s">
        <v>14</v>
      </c>
      <c r="I69">
        <v>64</v>
      </c>
    </row>
    <row r="70" spans="1:56" x14ac:dyDescent="0.25">
      <c r="A70" s="5" t="s">
        <v>529</v>
      </c>
      <c r="B70" t="s">
        <v>127</v>
      </c>
      <c r="C70" t="s">
        <v>353</v>
      </c>
      <c r="D70" s="2">
        <f t="shared" si="10"/>
        <v>13</v>
      </c>
      <c r="E70" t="s">
        <v>14</v>
      </c>
      <c r="F70" t="s">
        <v>14</v>
      </c>
      <c r="G70">
        <v>0</v>
      </c>
      <c r="H70" t="s">
        <v>14</v>
      </c>
      <c r="I70">
        <v>64</v>
      </c>
    </row>
    <row r="71" spans="1:56" x14ac:dyDescent="0.25">
      <c r="A71" s="5" t="s">
        <v>530</v>
      </c>
      <c r="B71" t="s">
        <v>127</v>
      </c>
      <c r="C71" t="s">
        <v>354</v>
      </c>
      <c r="D71" s="2">
        <f t="shared" si="10"/>
        <v>13</v>
      </c>
      <c r="E71" t="s">
        <v>14</v>
      </c>
      <c r="F71" t="s">
        <v>14</v>
      </c>
      <c r="G71">
        <v>0</v>
      </c>
      <c r="H71" t="s">
        <v>14</v>
      </c>
      <c r="I71">
        <v>64</v>
      </c>
    </row>
    <row r="72" spans="1:56" x14ac:dyDescent="0.25">
      <c r="A72" s="5" t="s">
        <v>451</v>
      </c>
      <c r="B72" t="s">
        <v>127</v>
      </c>
      <c r="C72" t="s">
        <v>355</v>
      </c>
      <c r="D72" s="2">
        <f t="shared" si="10"/>
        <v>25</v>
      </c>
      <c r="E72" t="s">
        <v>14</v>
      </c>
      <c r="F72" t="s">
        <v>14</v>
      </c>
      <c r="G72">
        <v>0</v>
      </c>
      <c r="H72" t="s">
        <v>14</v>
      </c>
      <c r="I72">
        <v>64</v>
      </c>
    </row>
    <row r="73" spans="1:56" x14ac:dyDescent="0.25">
      <c r="A73" s="5" t="s">
        <v>452</v>
      </c>
      <c r="B73" t="s">
        <v>127</v>
      </c>
      <c r="C73" t="s">
        <v>356</v>
      </c>
      <c r="D73" s="2">
        <f t="shared" si="10"/>
        <v>25</v>
      </c>
      <c r="E73" t="s">
        <v>14</v>
      </c>
      <c r="F73" t="s">
        <v>14</v>
      </c>
      <c r="G73">
        <v>0</v>
      </c>
      <c r="H73" t="s">
        <v>14</v>
      </c>
      <c r="I73">
        <v>64</v>
      </c>
    </row>
    <row r="74" spans="1:56" x14ac:dyDescent="0.25">
      <c r="A74" s="5" t="s">
        <v>453</v>
      </c>
      <c r="B74" t="s">
        <v>127</v>
      </c>
      <c r="C74" t="s">
        <v>357</v>
      </c>
      <c r="D74" s="2">
        <f t="shared" si="10"/>
        <v>25</v>
      </c>
      <c r="E74" t="s">
        <v>14</v>
      </c>
      <c r="F74" t="s">
        <v>14</v>
      </c>
      <c r="G74">
        <v>0</v>
      </c>
      <c r="H74" t="s">
        <v>14</v>
      </c>
      <c r="I74">
        <v>64</v>
      </c>
    </row>
    <row r="75" spans="1:56" x14ac:dyDescent="0.25">
      <c r="A75" s="5" t="s">
        <v>454</v>
      </c>
      <c r="B75" t="s">
        <v>127</v>
      </c>
      <c r="C75" t="s">
        <v>358</v>
      </c>
      <c r="D75" s="2">
        <f t="shared" si="10"/>
        <v>25</v>
      </c>
      <c r="E75" t="s">
        <v>14</v>
      </c>
      <c r="F75" t="s">
        <v>14</v>
      </c>
      <c r="G75">
        <v>0</v>
      </c>
      <c r="H75" t="s">
        <v>14</v>
      </c>
      <c r="I75">
        <v>64</v>
      </c>
    </row>
    <row r="76" spans="1:56" x14ac:dyDescent="0.25">
      <c r="A76" s="5" t="s">
        <v>531</v>
      </c>
      <c r="B76" t="s">
        <v>127</v>
      </c>
      <c r="C76" t="s">
        <v>359</v>
      </c>
      <c r="D76" s="2">
        <f t="shared" si="10"/>
        <v>43</v>
      </c>
      <c r="E76" t="s">
        <v>14</v>
      </c>
      <c r="F76" t="s">
        <v>14</v>
      </c>
      <c r="G76">
        <v>0</v>
      </c>
      <c r="H76" t="s">
        <v>14</v>
      </c>
      <c r="I76">
        <v>64</v>
      </c>
    </row>
    <row r="77" spans="1:56" x14ac:dyDescent="0.25">
      <c r="A77" s="5" t="s">
        <v>523</v>
      </c>
      <c r="B77" t="s">
        <v>127</v>
      </c>
      <c r="C77" t="s">
        <v>360</v>
      </c>
      <c r="D77" s="2">
        <f t="shared" si="10"/>
        <v>36</v>
      </c>
      <c r="E77" t="s">
        <v>14</v>
      </c>
      <c r="F77" t="s">
        <v>14</v>
      </c>
      <c r="G77">
        <v>0</v>
      </c>
      <c r="H77" t="s">
        <v>14</v>
      </c>
      <c r="I77">
        <v>64</v>
      </c>
      <c r="K77" t="s">
        <v>360</v>
      </c>
    </row>
    <row r="78" spans="1:56" x14ac:dyDescent="0.25">
      <c r="A78" s="5" t="s">
        <v>524</v>
      </c>
      <c r="B78" t="s">
        <v>127</v>
      </c>
      <c r="C78" t="s">
        <v>361</v>
      </c>
      <c r="D78" s="2">
        <f t="shared" si="10"/>
        <v>36</v>
      </c>
      <c r="E78" t="s">
        <v>14</v>
      </c>
      <c r="F78" t="s">
        <v>14</v>
      </c>
      <c r="G78">
        <v>0</v>
      </c>
      <c r="H78" t="s">
        <v>14</v>
      </c>
      <c r="I78">
        <v>64</v>
      </c>
      <c r="K78" t="s">
        <v>361</v>
      </c>
    </row>
    <row r="79" spans="1:56" x14ac:dyDescent="0.25">
      <c r="A79" s="5" t="s">
        <v>525</v>
      </c>
      <c r="B79" t="s">
        <v>127</v>
      </c>
      <c r="C79" t="s">
        <v>362</v>
      </c>
      <c r="D79" s="2">
        <f t="shared" si="10"/>
        <v>36</v>
      </c>
      <c r="E79" t="s">
        <v>14</v>
      </c>
      <c r="F79" t="s">
        <v>14</v>
      </c>
      <c r="G79">
        <v>0</v>
      </c>
      <c r="H79" t="s">
        <v>14</v>
      </c>
      <c r="I79">
        <v>64</v>
      </c>
      <c r="K79" t="s">
        <v>362</v>
      </c>
    </row>
    <row r="80" spans="1:56" x14ac:dyDescent="0.25">
      <c r="A80" s="5" t="s">
        <v>526</v>
      </c>
      <c r="B80" t="s">
        <v>127</v>
      </c>
      <c r="C80" t="s">
        <v>363</v>
      </c>
      <c r="D80" s="2">
        <f t="shared" si="10"/>
        <v>36</v>
      </c>
      <c r="E80" t="s">
        <v>14</v>
      </c>
      <c r="F80" t="s">
        <v>14</v>
      </c>
      <c r="G80">
        <v>0</v>
      </c>
      <c r="H80" t="s">
        <v>14</v>
      </c>
      <c r="I80">
        <v>64</v>
      </c>
      <c r="K80" t="s">
        <v>363</v>
      </c>
    </row>
    <row r="81" spans="1:11" x14ac:dyDescent="0.25">
      <c r="A81" s="5" t="s">
        <v>527</v>
      </c>
      <c r="B81" t="s">
        <v>127</v>
      </c>
      <c r="C81" t="s">
        <v>364</v>
      </c>
      <c r="D81" s="2">
        <f t="shared" si="10"/>
        <v>36</v>
      </c>
      <c r="E81" t="s">
        <v>14</v>
      </c>
      <c r="F81" t="s">
        <v>14</v>
      </c>
      <c r="G81">
        <v>0</v>
      </c>
      <c r="H81" t="s">
        <v>14</v>
      </c>
      <c r="I81">
        <v>64</v>
      </c>
      <c r="K81" t="s">
        <v>364</v>
      </c>
    </row>
    <row r="82" spans="1:11" x14ac:dyDescent="0.25">
      <c r="A82" s="5" t="s">
        <v>528</v>
      </c>
      <c r="B82" t="s">
        <v>127</v>
      </c>
      <c r="C82" t="s">
        <v>365</v>
      </c>
      <c r="D82" s="2">
        <f t="shared" si="10"/>
        <v>36</v>
      </c>
      <c r="E82" t="s">
        <v>14</v>
      </c>
      <c r="F82" t="s">
        <v>14</v>
      </c>
      <c r="G82">
        <v>0</v>
      </c>
      <c r="H82" t="s">
        <v>14</v>
      </c>
      <c r="I82">
        <v>64</v>
      </c>
      <c r="K82" t="s">
        <v>365</v>
      </c>
    </row>
    <row r="83" spans="1:11" x14ac:dyDescent="0.25">
      <c r="A83" t="s">
        <v>560</v>
      </c>
      <c r="B83" t="s">
        <v>16</v>
      </c>
      <c r="C83" t="s">
        <v>17</v>
      </c>
      <c r="D83" s="2">
        <f t="shared" si="10"/>
        <v>7</v>
      </c>
      <c r="E83" t="s">
        <v>18</v>
      </c>
      <c r="F83" t="s">
        <v>19</v>
      </c>
      <c r="G83" t="s">
        <v>40</v>
      </c>
      <c r="H83" t="s">
        <v>53</v>
      </c>
    </row>
    <row r="84" spans="1:11" x14ac:dyDescent="0.25">
      <c r="A84" s="5" t="s">
        <v>521</v>
      </c>
      <c r="B84" t="s">
        <v>127</v>
      </c>
      <c r="C84" t="s">
        <v>366</v>
      </c>
      <c r="D84" s="2">
        <f t="shared" si="10"/>
        <v>38</v>
      </c>
      <c r="E84" t="s">
        <v>14</v>
      </c>
      <c r="F84">
        <v>0</v>
      </c>
      <c r="G84" t="s">
        <v>14</v>
      </c>
    </row>
    <row r="85" spans="1:11" x14ac:dyDescent="0.25">
      <c r="A85" s="5" t="s">
        <v>522</v>
      </c>
      <c r="B85" t="s">
        <v>127</v>
      </c>
      <c r="C85" t="s">
        <v>367</v>
      </c>
      <c r="D85" s="2">
        <f t="shared" si="10"/>
        <v>40</v>
      </c>
      <c r="E85" t="s">
        <v>14</v>
      </c>
      <c r="F85">
        <v>0</v>
      </c>
      <c r="G85" t="s">
        <v>14</v>
      </c>
    </row>
    <row r="86" spans="1:11" x14ac:dyDescent="0.25">
      <c r="A86" t="s">
        <v>561</v>
      </c>
      <c r="B86" t="s">
        <v>16</v>
      </c>
      <c r="C86" t="s">
        <v>17</v>
      </c>
      <c r="D86" s="2">
        <f t="shared" si="10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11" x14ac:dyDescent="0.25">
      <c r="A87" s="5" t="s">
        <v>506</v>
      </c>
      <c r="B87" t="s">
        <v>127</v>
      </c>
      <c r="C87" t="s">
        <v>368</v>
      </c>
      <c r="D87" s="2">
        <f t="shared" si="10"/>
        <v>32</v>
      </c>
      <c r="E87" t="s">
        <v>14</v>
      </c>
      <c r="F87">
        <v>0</v>
      </c>
      <c r="G87" t="s">
        <v>14</v>
      </c>
    </row>
    <row r="88" spans="1:11" x14ac:dyDescent="0.25">
      <c r="A88" s="5" t="s">
        <v>507</v>
      </c>
      <c r="B88" t="s">
        <v>127</v>
      </c>
      <c r="C88" t="s">
        <v>369</v>
      </c>
      <c r="D88" s="2">
        <f t="shared" si="10"/>
        <v>34</v>
      </c>
      <c r="E88" t="s">
        <v>14</v>
      </c>
      <c r="F88">
        <v>0</v>
      </c>
      <c r="G88" t="s">
        <v>14</v>
      </c>
    </row>
    <row r="89" spans="1:11" x14ac:dyDescent="0.25">
      <c r="A89" s="5" t="s">
        <v>508</v>
      </c>
      <c r="B89" t="s">
        <v>127</v>
      </c>
      <c r="C89" t="s">
        <v>370</v>
      </c>
      <c r="D89" s="2">
        <f t="shared" si="10"/>
        <v>27</v>
      </c>
      <c r="E89" t="s">
        <v>14</v>
      </c>
      <c r="F89">
        <v>0</v>
      </c>
      <c r="G89" t="s">
        <v>14</v>
      </c>
    </row>
    <row r="90" spans="1:11" x14ac:dyDescent="0.25">
      <c r="A90" s="5" t="s">
        <v>509</v>
      </c>
      <c r="B90" t="s">
        <v>127</v>
      </c>
      <c r="C90" t="s">
        <v>371</v>
      </c>
      <c r="D90" s="2">
        <f t="shared" si="10"/>
        <v>37</v>
      </c>
      <c r="E90" t="s">
        <v>14</v>
      </c>
      <c r="F90">
        <v>0</v>
      </c>
      <c r="G90" t="s">
        <v>14</v>
      </c>
    </row>
    <row r="91" spans="1:11" x14ac:dyDescent="0.25">
      <c r="A91" s="5" t="s">
        <v>510</v>
      </c>
      <c r="B91" t="s">
        <v>127</v>
      </c>
      <c r="C91" t="s">
        <v>372</v>
      </c>
      <c r="D91" s="2">
        <f t="shared" si="10"/>
        <v>25</v>
      </c>
      <c r="E91" t="s">
        <v>14</v>
      </c>
      <c r="F91">
        <v>0</v>
      </c>
      <c r="G91" t="s">
        <v>14</v>
      </c>
    </row>
    <row r="92" spans="1:11" x14ac:dyDescent="0.25">
      <c r="A92" s="5" t="s">
        <v>511</v>
      </c>
      <c r="B92" t="s">
        <v>127</v>
      </c>
      <c r="C92" t="s">
        <v>373</v>
      </c>
      <c r="D92" s="2">
        <f t="shared" si="10"/>
        <v>33</v>
      </c>
      <c r="E92" t="s">
        <v>14</v>
      </c>
      <c r="F92">
        <v>0</v>
      </c>
      <c r="G92" t="s">
        <v>14</v>
      </c>
    </row>
    <row r="93" spans="1:11" x14ac:dyDescent="0.25">
      <c r="A93" s="5" t="s">
        <v>512</v>
      </c>
      <c r="B93" t="s">
        <v>127</v>
      </c>
      <c r="C93" t="s">
        <v>374</v>
      </c>
      <c r="D93" s="2">
        <f t="shared" si="10"/>
        <v>35</v>
      </c>
      <c r="E93" t="s">
        <v>14</v>
      </c>
      <c r="F93">
        <v>0</v>
      </c>
      <c r="G93" t="s">
        <v>14</v>
      </c>
    </row>
    <row r="94" spans="1:11" x14ac:dyDescent="0.25">
      <c r="A94" s="5" t="s">
        <v>513</v>
      </c>
      <c r="B94" t="s">
        <v>127</v>
      </c>
      <c r="C94" t="s">
        <v>375</v>
      </c>
      <c r="D94" s="2">
        <f t="shared" si="10"/>
        <v>25</v>
      </c>
      <c r="E94" t="s">
        <v>14</v>
      </c>
      <c r="F94">
        <v>0</v>
      </c>
      <c r="G94" t="s">
        <v>14</v>
      </c>
    </row>
    <row r="95" spans="1:11" x14ac:dyDescent="0.25">
      <c r="A95" s="5" t="s">
        <v>514</v>
      </c>
      <c r="B95" t="s">
        <v>127</v>
      </c>
      <c r="C95" t="s">
        <v>376</v>
      </c>
      <c r="D95" s="2">
        <f t="shared" si="10"/>
        <v>23</v>
      </c>
      <c r="E95" t="s">
        <v>14</v>
      </c>
      <c r="F95">
        <v>0</v>
      </c>
      <c r="G95" t="s">
        <v>14</v>
      </c>
    </row>
    <row r="96" spans="1:11" x14ac:dyDescent="0.25">
      <c r="A96" s="5" t="s">
        <v>515</v>
      </c>
      <c r="B96" t="s">
        <v>127</v>
      </c>
      <c r="C96" t="s">
        <v>377</v>
      </c>
      <c r="D96" s="2">
        <f t="shared" si="10"/>
        <v>25</v>
      </c>
      <c r="E96" t="s">
        <v>14</v>
      </c>
      <c r="F96">
        <v>0</v>
      </c>
      <c r="G96" t="s">
        <v>14</v>
      </c>
    </row>
    <row r="97" spans="1:7" x14ac:dyDescent="0.25">
      <c r="A97" s="5" t="s">
        <v>516</v>
      </c>
      <c r="B97" t="s">
        <v>127</v>
      </c>
      <c r="C97" t="s">
        <v>378</v>
      </c>
      <c r="D97" s="2">
        <f t="shared" si="10"/>
        <v>23</v>
      </c>
      <c r="E97" t="s">
        <v>14</v>
      </c>
      <c r="F97">
        <v>0</v>
      </c>
      <c r="G97" t="s">
        <v>14</v>
      </c>
    </row>
    <row r="98" spans="1:7" x14ac:dyDescent="0.25">
      <c r="A98" s="5" t="s">
        <v>517</v>
      </c>
      <c r="B98" t="s">
        <v>127</v>
      </c>
      <c r="C98" t="s">
        <v>379</v>
      </c>
      <c r="D98" s="2">
        <f t="shared" ref="D98:D101" si="12">LEN(C98)</f>
        <v>25</v>
      </c>
      <c r="E98" t="s">
        <v>14</v>
      </c>
      <c r="F98">
        <v>0</v>
      </c>
      <c r="G98" t="s">
        <v>14</v>
      </c>
    </row>
    <row r="99" spans="1:7" x14ac:dyDescent="0.25">
      <c r="A99" s="5" t="s">
        <v>518</v>
      </c>
      <c r="B99" t="s">
        <v>127</v>
      </c>
      <c r="C99" t="s">
        <v>380</v>
      </c>
      <c r="D99" s="2">
        <f t="shared" si="12"/>
        <v>23</v>
      </c>
      <c r="E99" t="s">
        <v>14</v>
      </c>
      <c r="F99">
        <v>0</v>
      </c>
      <c r="G99" t="s">
        <v>14</v>
      </c>
    </row>
    <row r="100" spans="1:7" x14ac:dyDescent="0.25">
      <c r="A100" s="5" t="s">
        <v>519</v>
      </c>
      <c r="B100" t="s">
        <v>127</v>
      </c>
      <c r="C100" t="s">
        <v>381</v>
      </c>
      <c r="D100" s="2">
        <f t="shared" si="12"/>
        <v>25</v>
      </c>
      <c r="E100" t="s">
        <v>14</v>
      </c>
      <c r="F100">
        <v>0</v>
      </c>
      <c r="G100" t="s">
        <v>14</v>
      </c>
    </row>
    <row r="101" spans="1:7" x14ac:dyDescent="0.25">
      <c r="A101" s="5" t="s">
        <v>520</v>
      </c>
      <c r="B101" t="s">
        <v>127</v>
      </c>
      <c r="C101" t="s">
        <v>382</v>
      </c>
      <c r="D101" s="2">
        <f t="shared" si="12"/>
        <v>23</v>
      </c>
      <c r="E101" t="s">
        <v>14</v>
      </c>
      <c r="F101">
        <v>0</v>
      </c>
      <c r="G101" t="s">
        <v>14</v>
      </c>
    </row>
  </sheetData>
  <conditionalFormatting sqref="D20 D8:D10 D22 D17:D18 D12:D15 D32:D101">
    <cfRule type="cellIs" dxfId="11" priority="10" operator="greaterThan">
      <formula>49</formula>
    </cfRule>
  </conditionalFormatting>
  <conditionalFormatting sqref="D31">
    <cfRule type="cellIs" dxfId="10" priority="6" operator="greaterThan">
      <formula>49</formula>
    </cfRule>
  </conditionalFormatting>
  <conditionalFormatting sqref="D2:D7">
    <cfRule type="cellIs" dxfId="9" priority="9" operator="greaterThan">
      <formula>49</formula>
    </cfRule>
  </conditionalFormatting>
  <conditionalFormatting sqref="D29">
    <cfRule type="cellIs" dxfId="8" priority="8" operator="greaterThan">
      <formula>49</formula>
    </cfRule>
  </conditionalFormatting>
  <conditionalFormatting sqref="D30">
    <cfRule type="cellIs" dxfId="7" priority="7" operator="greaterThan">
      <formula>49</formula>
    </cfRule>
  </conditionalFormatting>
  <conditionalFormatting sqref="D11">
    <cfRule type="cellIs" dxfId="6" priority="5" operator="greaterThan">
      <formula>49</formula>
    </cfRule>
  </conditionalFormatting>
  <conditionalFormatting sqref="D19">
    <cfRule type="cellIs" dxfId="5" priority="4" operator="greaterThan">
      <formula>49</formula>
    </cfRule>
  </conditionalFormatting>
  <conditionalFormatting sqref="D23:D28">
    <cfRule type="cellIs" dxfId="4" priority="3" operator="greaterThan">
      <formula>49</formula>
    </cfRule>
  </conditionalFormatting>
  <conditionalFormatting sqref="D16">
    <cfRule type="cellIs" dxfId="3" priority="2" operator="greaterThan">
      <formula>49</formula>
    </cfRule>
  </conditionalFormatting>
  <conditionalFormatting sqref="D21">
    <cfRule type="cellIs" dxfId="2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view="pageBreakPreview" zoomScaleNormal="100" zoomScaleSheetLayoutView="100" workbookViewId="0">
      <selection activeCell="A21" sqref="A21"/>
    </sheetView>
  </sheetViews>
  <sheetFormatPr defaultRowHeight="15" x14ac:dyDescent="0.25"/>
  <cols>
    <col min="1" max="1" width="20.7109375" customWidth="1"/>
    <col min="2" max="2" width="13" customWidth="1"/>
    <col min="3" max="3" width="37.7109375" bestFit="1" customWidth="1"/>
    <col min="4" max="4" width="17.7109375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18.7109375" bestFit="1" customWidth="1"/>
    <col min="11" max="12" width="18.28515625" bestFit="1" customWidth="1"/>
    <col min="13" max="13" width="14.7109375" bestFit="1" customWidth="1"/>
    <col min="14" max="14" width="15" bestFit="1" customWidth="1"/>
    <col min="15" max="15" width="16.7109375" bestFit="1" customWidth="1"/>
    <col min="16" max="16" width="15.42578125" bestFit="1" customWidth="1"/>
    <col min="17" max="18" width="16.28515625" bestFit="1" customWidth="1"/>
    <col min="19" max="19" width="37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28515625" bestFit="1" customWidth="1"/>
    <col min="43" max="43" width="10.28515625" bestFit="1" customWidth="1"/>
    <col min="44" max="44" width="11.28515625" bestFit="1" customWidth="1"/>
    <col min="45" max="45" width="15.42578125" bestFit="1" customWidth="1"/>
    <col min="46" max="46" width="16.42578125" bestFit="1" customWidth="1"/>
    <col min="47" max="47" width="8.7109375" bestFit="1" customWidth="1"/>
    <col min="48" max="48" width="31.2851562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28515625" bestFit="1" customWidth="1"/>
    <col min="54" max="55" width="18.28515625" bestFit="1" customWidth="1"/>
    <col min="56" max="56" width="14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64" x14ac:dyDescent="0.25">
      <c r="A1" t="s">
        <v>0</v>
      </c>
      <c r="D1" s="1" t="s">
        <v>1</v>
      </c>
    </row>
    <row r="2" spans="1:64" x14ac:dyDescent="0.25">
      <c r="A2" t="s">
        <v>15</v>
      </c>
      <c r="B2" t="s">
        <v>16</v>
      </c>
      <c r="C2" t="s">
        <v>17</v>
      </c>
      <c r="D2" s="2">
        <f t="shared" ref="D2:D23" si="0">LEN(C2)</f>
        <v>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64" x14ac:dyDescent="0.25">
      <c r="A3" s="3" t="s">
        <v>448</v>
      </c>
      <c r="B3" s="4" t="str">
        <f>BXXPLC1!A5</f>
        <v>BXX</v>
      </c>
      <c r="C3" s="3" t="s">
        <v>387</v>
      </c>
      <c r="D3" s="2">
        <f t="shared" si="0"/>
        <v>23</v>
      </c>
      <c r="E3" s="5" t="s">
        <v>13</v>
      </c>
      <c r="F3" s="5">
        <v>999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</row>
    <row r="4" spans="1:64" x14ac:dyDescent="0.25">
      <c r="A4" t="s">
        <v>425</v>
      </c>
      <c r="B4" t="s">
        <v>16</v>
      </c>
      <c r="C4" t="s">
        <v>17</v>
      </c>
      <c r="D4" s="2">
        <f t="shared" si="0"/>
        <v>7</v>
      </c>
      <c r="E4" t="s">
        <v>39</v>
      </c>
      <c r="F4" t="s">
        <v>18</v>
      </c>
      <c r="G4" t="s">
        <v>19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46</v>
      </c>
      <c r="O4" t="s">
        <v>47</v>
      </c>
      <c r="P4" t="s">
        <v>48</v>
      </c>
      <c r="Q4" t="s">
        <v>49</v>
      </c>
      <c r="R4" t="s">
        <v>50</v>
      </c>
      <c r="S4" t="s">
        <v>51</v>
      </c>
      <c r="T4" t="s">
        <v>52</v>
      </c>
      <c r="U4" t="s">
        <v>27</v>
      </c>
      <c r="V4" t="s">
        <v>35</v>
      </c>
      <c r="W4" t="s">
        <v>53</v>
      </c>
    </row>
    <row r="5" spans="1:64" x14ac:dyDescent="0.25">
      <c r="A5" s="4" t="str">
        <f>$A$3&amp;"1_PB_EN"</f>
        <v>BXX_DTY1_LI1_PB_EN</v>
      </c>
      <c r="B5" s="4" t="str">
        <f>$A$3</f>
        <v>BXX_DTY1_LI</v>
      </c>
      <c r="C5" t="str">
        <f>$C$3 &amp; " Rotation Enable"</f>
        <v>BXX Wet Well Level Duty Rotation Enable</v>
      </c>
      <c r="D5" s="2">
        <f t="shared" si="0"/>
        <v>39</v>
      </c>
      <c r="E5" t="s">
        <v>14</v>
      </c>
      <c r="F5" t="s">
        <v>13</v>
      </c>
      <c r="G5" s="5">
        <v>600</v>
      </c>
      <c r="H5" t="s">
        <v>13</v>
      </c>
      <c r="I5" t="s">
        <v>54</v>
      </c>
      <c r="J5" t="s">
        <v>60</v>
      </c>
      <c r="K5" t="s">
        <v>59</v>
      </c>
      <c r="L5" t="s">
        <v>56</v>
      </c>
      <c r="M5">
        <v>94</v>
      </c>
      <c r="N5" t="s">
        <v>57</v>
      </c>
      <c r="O5" s="5" t="str">
        <f>BXXPLC1!C3</f>
        <v>BXX</v>
      </c>
      <c r="P5" t="s">
        <v>14</v>
      </c>
      <c r="Q5" s="4" t="str">
        <f>$A$3&amp;".PB_EN"</f>
        <v>BXX_DTY1_LI.PB_EN</v>
      </c>
      <c r="R5" t="s">
        <v>14</v>
      </c>
      <c r="S5" s="4" t="str">
        <f>C5</f>
        <v>BXX Wet Well Level Duty Rotation Enable</v>
      </c>
      <c r="T5">
        <v>0</v>
      </c>
      <c r="U5">
        <v>0</v>
      </c>
    </row>
    <row r="6" spans="1:64" x14ac:dyDescent="0.25">
      <c r="A6" t="s">
        <v>70</v>
      </c>
      <c r="B6" t="s">
        <v>16</v>
      </c>
      <c r="C6" t="s">
        <v>17</v>
      </c>
      <c r="D6" s="2">
        <f t="shared" si="0"/>
        <v>7</v>
      </c>
      <c r="E6" t="s">
        <v>39</v>
      </c>
      <c r="F6" t="s">
        <v>18</v>
      </c>
      <c r="G6" t="s">
        <v>19</v>
      </c>
      <c r="H6" t="s">
        <v>40</v>
      </c>
      <c r="I6" t="s">
        <v>71</v>
      </c>
      <c r="J6" t="s">
        <v>72</v>
      </c>
      <c r="K6" t="s">
        <v>73</v>
      </c>
      <c r="L6" t="s">
        <v>74</v>
      </c>
      <c r="M6" t="s">
        <v>75</v>
      </c>
      <c r="N6" t="s">
        <v>76</v>
      </c>
      <c r="O6" t="s">
        <v>77</v>
      </c>
      <c r="P6" t="s">
        <v>78</v>
      </c>
      <c r="Q6" t="s">
        <v>79</v>
      </c>
      <c r="R6" t="s">
        <v>80</v>
      </c>
      <c r="S6" t="s">
        <v>81</v>
      </c>
      <c r="T6" t="s">
        <v>82</v>
      </c>
      <c r="U6" t="s">
        <v>83</v>
      </c>
      <c r="V6" t="s">
        <v>84</v>
      </c>
      <c r="W6" t="s">
        <v>85</v>
      </c>
      <c r="X6" t="s">
        <v>86</v>
      </c>
      <c r="Y6" t="s">
        <v>87</v>
      </c>
      <c r="Z6" t="s">
        <v>88</v>
      </c>
      <c r="AA6" t="s">
        <v>89</v>
      </c>
      <c r="AB6" t="s">
        <v>90</v>
      </c>
      <c r="AC6" t="s">
        <v>91</v>
      </c>
      <c r="AD6" t="s">
        <v>92</v>
      </c>
      <c r="AE6" t="s">
        <v>93</v>
      </c>
      <c r="AF6" t="s">
        <v>94</v>
      </c>
      <c r="AG6" t="s">
        <v>95</v>
      </c>
      <c r="AH6" t="s">
        <v>96</v>
      </c>
      <c r="AI6" t="s">
        <v>97</v>
      </c>
      <c r="AJ6" t="s">
        <v>98</v>
      </c>
      <c r="AK6" t="s">
        <v>99</v>
      </c>
      <c r="AL6" t="s">
        <v>100</v>
      </c>
      <c r="AM6" t="s">
        <v>101</v>
      </c>
      <c r="AN6" t="s">
        <v>102</v>
      </c>
      <c r="AO6" t="s">
        <v>103</v>
      </c>
      <c r="AP6" t="s">
        <v>104</v>
      </c>
      <c r="AQ6" t="s">
        <v>105</v>
      </c>
      <c r="AR6" t="s">
        <v>47</v>
      </c>
      <c r="AS6" t="s">
        <v>48</v>
      </c>
      <c r="AT6" t="s">
        <v>49</v>
      </c>
      <c r="AU6" t="s">
        <v>50</v>
      </c>
      <c r="AV6" t="s">
        <v>51</v>
      </c>
      <c r="AW6" t="s">
        <v>52</v>
      </c>
      <c r="AX6" t="s">
        <v>20</v>
      </c>
      <c r="AY6" t="s">
        <v>21</v>
      </c>
      <c r="AZ6" t="s">
        <v>22</v>
      </c>
      <c r="BA6" t="s">
        <v>23</v>
      </c>
      <c r="BB6" t="s">
        <v>24</v>
      </c>
      <c r="BC6" t="s">
        <v>25</v>
      </c>
      <c r="BD6" t="s">
        <v>26</v>
      </c>
      <c r="BE6" t="s">
        <v>28</v>
      </c>
      <c r="BF6" t="s">
        <v>29</v>
      </c>
      <c r="BG6" t="s">
        <v>30</v>
      </c>
      <c r="BH6" t="s">
        <v>31</v>
      </c>
      <c r="BI6" t="s">
        <v>32</v>
      </c>
      <c r="BJ6" t="s">
        <v>33</v>
      </c>
      <c r="BK6" t="s">
        <v>34</v>
      </c>
      <c r="BL6" t="s">
        <v>53</v>
      </c>
    </row>
    <row r="7" spans="1:64" x14ac:dyDescent="0.25">
      <c r="A7" s="4" t="str">
        <f>$A$3&amp;"1_AO_CT"</f>
        <v>BXX_DTY1_LI1_AO_CT</v>
      </c>
      <c r="B7" s="4" t="str">
        <f>$A$3</f>
        <v>BXX_DTY1_LI</v>
      </c>
      <c r="C7" t="str">
        <f>$C$3 &amp; " Device Selected"</f>
        <v>BXX Wet Well Level Duty Device Selected</v>
      </c>
      <c r="D7" s="2">
        <f t="shared" si="0"/>
        <v>39</v>
      </c>
      <c r="E7" t="s">
        <v>14</v>
      </c>
      <c r="F7" t="s">
        <v>13</v>
      </c>
      <c r="G7" s="5">
        <v>600</v>
      </c>
      <c r="H7" t="s">
        <v>13</v>
      </c>
      <c r="I7" t="s">
        <v>14</v>
      </c>
      <c r="J7">
        <v>0</v>
      </c>
      <c r="K7">
        <v>0</v>
      </c>
      <c r="M7">
        <v>1</v>
      </c>
      <c r="N7">
        <v>1</v>
      </c>
      <c r="O7" s="5">
        <v>2</v>
      </c>
      <c r="P7">
        <v>0</v>
      </c>
      <c r="Q7">
        <v>0</v>
      </c>
      <c r="R7" t="s">
        <v>54</v>
      </c>
      <c r="S7">
        <v>0</v>
      </c>
      <c r="T7">
        <v>1</v>
      </c>
      <c r="U7" t="s">
        <v>54</v>
      </c>
      <c r="V7">
        <v>0</v>
      </c>
      <c r="W7">
        <v>1</v>
      </c>
      <c r="X7" t="s">
        <v>54</v>
      </c>
      <c r="Y7">
        <v>0</v>
      </c>
      <c r="Z7">
        <v>1</v>
      </c>
      <c r="AA7" t="s">
        <v>54</v>
      </c>
      <c r="AB7">
        <v>0</v>
      </c>
      <c r="AC7">
        <v>1</v>
      </c>
      <c r="AD7" t="s">
        <v>54</v>
      </c>
      <c r="AE7">
        <v>0</v>
      </c>
      <c r="AF7">
        <v>1</v>
      </c>
      <c r="AG7" t="s">
        <v>54</v>
      </c>
      <c r="AH7">
        <v>0</v>
      </c>
      <c r="AI7">
        <v>1</v>
      </c>
      <c r="AJ7">
        <v>0</v>
      </c>
      <c r="AK7" t="s">
        <v>54</v>
      </c>
      <c r="AL7">
        <v>0</v>
      </c>
      <c r="AM7">
        <v>1</v>
      </c>
      <c r="AN7" t="s">
        <v>107</v>
      </c>
      <c r="AO7" s="4">
        <f>N7</f>
        <v>1</v>
      </c>
      <c r="AP7" s="4">
        <f>O7</f>
        <v>2</v>
      </c>
      <c r="AQ7" t="s">
        <v>108</v>
      </c>
      <c r="AR7" s="4" t="str">
        <f>$O$5</f>
        <v>BXX</v>
      </c>
      <c r="AS7" t="s">
        <v>14</v>
      </c>
      <c r="AT7" s="4" t="str">
        <f>$A$3&amp;".AO_CT"</f>
        <v>BXX_DTY1_LI.AO_CT</v>
      </c>
      <c r="AU7" t="s">
        <v>14</v>
      </c>
      <c r="AV7" s="4" t="str">
        <f>C7</f>
        <v>BXX Wet Well Level Duty Device Selected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</row>
    <row r="8" spans="1:64" x14ac:dyDescent="0.25">
      <c r="A8" s="4" t="str">
        <f>$A$3&amp;"1_AI_CV"</f>
        <v>BXX_DTY1_LI1_AI_CV</v>
      </c>
      <c r="B8" s="4" t="str">
        <f>$A$3</f>
        <v>BXX_DTY1_LI</v>
      </c>
      <c r="C8" t="str">
        <f>$C$3 &amp; " Transmitter"</f>
        <v>BXX Wet Well Level Duty Transmitter</v>
      </c>
      <c r="D8" s="2">
        <f t="shared" si="0"/>
        <v>35</v>
      </c>
      <c r="E8" t="s">
        <v>14</v>
      </c>
      <c r="F8" t="s">
        <v>13</v>
      </c>
      <c r="G8" s="5">
        <v>700</v>
      </c>
      <c r="H8" t="s">
        <v>13</v>
      </c>
      <c r="I8" t="s">
        <v>14</v>
      </c>
      <c r="J8">
        <v>0</v>
      </c>
      <c r="K8">
        <v>0</v>
      </c>
      <c r="M8">
        <v>1</v>
      </c>
      <c r="N8">
        <v>1</v>
      </c>
      <c r="O8" s="4">
        <f>O7</f>
        <v>2</v>
      </c>
      <c r="P8">
        <v>0</v>
      </c>
      <c r="Q8">
        <v>0</v>
      </c>
      <c r="R8" t="s">
        <v>54</v>
      </c>
      <c r="S8">
        <v>0</v>
      </c>
      <c r="T8">
        <v>1</v>
      </c>
      <c r="U8" t="s">
        <v>54</v>
      </c>
      <c r="V8">
        <v>0</v>
      </c>
      <c r="W8">
        <v>1</v>
      </c>
      <c r="X8" t="s">
        <v>54</v>
      </c>
      <c r="Y8">
        <v>0</v>
      </c>
      <c r="Z8">
        <v>1</v>
      </c>
      <c r="AA8" t="s">
        <v>54</v>
      </c>
      <c r="AB8">
        <v>0</v>
      </c>
      <c r="AC8">
        <v>1</v>
      </c>
      <c r="AD8" t="s">
        <v>54</v>
      </c>
      <c r="AE8">
        <v>0</v>
      </c>
      <c r="AF8">
        <v>1</v>
      </c>
      <c r="AG8" t="s">
        <v>54</v>
      </c>
      <c r="AH8">
        <v>0</v>
      </c>
      <c r="AI8">
        <v>1</v>
      </c>
      <c r="AJ8">
        <v>0</v>
      </c>
      <c r="AK8" t="s">
        <v>54</v>
      </c>
      <c r="AL8">
        <v>0</v>
      </c>
      <c r="AM8">
        <v>1</v>
      </c>
      <c r="AN8" t="s">
        <v>107</v>
      </c>
      <c r="AO8" s="4">
        <f>N8</f>
        <v>1</v>
      </c>
      <c r="AP8" s="4">
        <f>O8</f>
        <v>2</v>
      </c>
      <c r="AQ8" t="s">
        <v>108</v>
      </c>
      <c r="AR8" s="4" t="str">
        <f>$O$5</f>
        <v>BXX</v>
      </c>
      <c r="AS8" t="s">
        <v>14</v>
      </c>
      <c r="AT8" s="4" t="str">
        <f>$A$3&amp;".AI_CT"</f>
        <v>BXX_DTY1_LI.AI_CT</v>
      </c>
      <c r="AU8" t="s">
        <v>14</v>
      </c>
      <c r="AV8" s="4" t="str">
        <f>C8</f>
        <v>BXX Wet Well Level Duty Transmitter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</row>
    <row r="9" spans="1:64" x14ac:dyDescent="0.25">
      <c r="A9" t="s">
        <v>123</v>
      </c>
      <c r="B9" t="s">
        <v>16</v>
      </c>
      <c r="C9" t="s">
        <v>17</v>
      </c>
      <c r="D9" s="2">
        <f t="shared" si="0"/>
        <v>7</v>
      </c>
      <c r="E9" t="s">
        <v>39</v>
      </c>
      <c r="F9" t="s">
        <v>18</v>
      </c>
      <c r="G9" t="s">
        <v>19</v>
      </c>
      <c r="H9" t="s">
        <v>40</v>
      </c>
      <c r="I9" t="s">
        <v>124</v>
      </c>
      <c r="J9" t="s">
        <v>125</v>
      </c>
      <c r="K9" t="s">
        <v>51</v>
      </c>
      <c r="L9" t="s">
        <v>53</v>
      </c>
    </row>
    <row r="10" spans="1:64" x14ac:dyDescent="0.25">
      <c r="A10" s="5" t="s">
        <v>449</v>
      </c>
      <c r="B10" t="s">
        <v>127</v>
      </c>
      <c r="C10" t="s">
        <v>351</v>
      </c>
      <c r="D10" s="2">
        <f t="shared" si="0"/>
        <v>13</v>
      </c>
      <c r="E10" t="s">
        <v>14</v>
      </c>
      <c r="F10" t="s">
        <v>14</v>
      </c>
      <c r="G10">
        <v>0</v>
      </c>
      <c r="H10" t="s">
        <v>14</v>
      </c>
      <c r="I10">
        <v>64</v>
      </c>
    </row>
    <row r="11" spans="1:64" x14ac:dyDescent="0.25">
      <c r="A11" s="5" t="s">
        <v>450</v>
      </c>
      <c r="B11" t="s">
        <v>127</v>
      </c>
      <c r="C11" t="s">
        <v>352</v>
      </c>
      <c r="D11" s="2">
        <f t="shared" si="0"/>
        <v>13</v>
      </c>
      <c r="E11" t="s">
        <v>14</v>
      </c>
      <c r="F11" t="s">
        <v>14</v>
      </c>
      <c r="G11">
        <v>0</v>
      </c>
      <c r="H11" t="s">
        <v>14</v>
      </c>
      <c r="I11">
        <v>64</v>
      </c>
    </row>
    <row r="12" spans="1:64" x14ac:dyDescent="0.25">
      <c r="A12" s="5" t="s">
        <v>451</v>
      </c>
      <c r="B12" t="s">
        <v>127</v>
      </c>
      <c r="C12" t="s">
        <v>355</v>
      </c>
      <c r="D12" s="2">
        <f t="shared" si="0"/>
        <v>25</v>
      </c>
      <c r="E12" t="s">
        <v>14</v>
      </c>
      <c r="F12" t="s">
        <v>14</v>
      </c>
      <c r="G12">
        <v>0</v>
      </c>
      <c r="H12" t="s">
        <v>14</v>
      </c>
      <c r="I12">
        <v>64</v>
      </c>
    </row>
    <row r="13" spans="1:64" x14ac:dyDescent="0.25">
      <c r="A13" s="5" t="s">
        <v>452</v>
      </c>
      <c r="B13" t="s">
        <v>127</v>
      </c>
      <c r="C13" t="s">
        <v>356</v>
      </c>
      <c r="D13" s="2">
        <f t="shared" si="0"/>
        <v>25</v>
      </c>
      <c r="E13" t="s">
        <v>14</v>
      </c>
      <c r="F13" t="s">
        <v>14</v>
      </c>
      <c r="G13">
        <v>0</v>
      </c>
      <c r="H13" t="s">
        <v>14</v>
      </c>
      <c r="I13">
        <v>64</v>
      </c>
    </row>
    <row r="14" spans="1:64" x14ac:dyDescent="0.25">
      <c r="A14" s="5" t="s">
        <v>453</v>
      </c>
      <c r="B14" t="s">
        <v>127</v>
      </c>
      <c r="C14" t="s">
        <v>357</v>
      </c>
      <c r="D14" s="2">
        <f t="shared" si="0"/>
        <v>25</v>
      </c>
      <c r="E14" t="s">
        <v>14</v>
      </c>
      <c r="F14" t="s">
        <v>14</v>
      </c>
      <c r="G14">
        <v>0</v>
      </c>
      <c r="H14" t="s">
        <v>14</v>
      </c>
      <c r="I14">
        <v>64</v>
      </c>
    </row>
    <row r="15" spans="1:64" x14ac:dyDescent="0.25">
      <c r="A15" s="5" t="s">
        <v>454</v>
      </c>
      <c r="B15" t="s">
        <v>127</v>
      </c>
      <c r="C15" t="s">
        <v>358</v>
      </c>
      <c r="D15" s="2">
        <f t="shared" si="0"/>
        <v>25</v>
      </c>
      <c r="E15" t="s">
        <v>14</v>
      </c>
      <c r="F15" t="s">
        <v>14</v>
      </c>
      <c r="G15">
        <v>0</v>
      </c>
      <c r="H15" t="s">
        <v>14</v>
      </c>
      <c r="I15">
        <v>64</v>
      </c>
    </row>
    <row r="16" spans="1:64" x14ac:dyDescent="0.25">
      <c r="A16" t="s">
        <v>560</v>
      </c>
      <c r="B16" t="s">
        <v>16</v>
      </c>
      <c r="C16" t="s">
        <v>17</v>
      </c>
      <c r="D16" s="2">
        <f t="shared" si="0"/>
        <v>7</v>
      </c>
      <c r="E16" t="s">
        <v>18</v>
      </c>
      <c r="F16" t="s">
        <v>19</v>
      </c>
      <c r="G16" t="s">
        <v>40</v>
      </c>
      <c r="H16" t="s">
        <v>53</v>
      </c>
    </row>
    <row r="17" spans="1:8" x14ac:dyDescent="0.25">
      <c r="A17" t="s">
        <v>455</v>
      </c>
      <c r="B17" t="s">
        <v>127</v>
      </c>
      <c r="C17" t="s">
        <v>384</v>
      </c>
      <c r="D17" s="2">
        <f t="shared" si="0"/>
        <v>30</v>
      </c>
      <c r="E17" t="s">
        <v>14</v>
      </c>
      <c r="F17">
        <v>0</v>
      </c>
      <c r="G17" t="s">
        <v>14</v>
      </c>
    </row>
    <row r="18" spans="1:8" x14ac:dyDescent="0.25">
      <c r="A18" t="s">
        <v>145</v>
      </c>
      <c r="B18" t="s">
        <v>16</v>
      </c>
      <c r="C18" t="s">
        <v>17</v>
      </c>
      <c r="D18" s="2">
        <f t="shared" si="0"/>
        <v>7</v>
      </c>
      <c r="E18" t="s">
        <v>18</v>
      </c>
      <c r="F18" t="s">
        <v>19</v>
      </c>
      <c r="G18" t="s">
        <v>40</v>
      </c>
      <c r="H18" t="s">
        <v>53</v>
      </c>
    </row>
    <row r="19" spans="1:8" x14ac:dyDescent="0.25">
      <c r="A19" t="s">
        <v>456</v>
      </c>
      <c r="B19" t="s">
        <v>127</v>
      </c>
      <c r="C19" t="s">
        <v>385</v>
      </c>
      <c r="D19" s="2">
        <f t="shared" si="0"/>
        <v>44</v>
      </c>
      <c r="E19" t="s">
        <v>14</v>
      </c>
      <c r="F19">
        <v>0</v>
      </c>
      <c r="G19" t="s">
        <v>14</v>
      </c>
    </row>
    <row r="20" spans="1:8" x14ac:dyDescent="0.25">
      <c r="A20" t="s">
        <v>457</v>
      </c>
      <c r="B20" t="s">
        <v>127</v>
      </c>
      <c r="C20" t="s">
        <v>386</v>
      </c>
      <c r="D20" s="2">
        <f t="shared" si="0"/>
        <v>44</v>
      </c>
      <c r="E20" t="s">
        <v>14</v>
      </c>
      <c r="F20">
        <v>0</v>
      </c>
      <c r="G20" t="s">
        <v>14</v>
      </c>
    </row>
    <row r="21" spans="1:8" x14ac:dyDescent="0.25">
      <c r="D21" s="2">
        <f t="shared" si="0"/>
        <v>0</v>
      </c>
    </row>
    <row r="22" spans="1:8" x14ac:dyDescent="0.25">
      <c r="D22" s="2">
        <f t="shared" si="0"/>
        <v>0</v>
      </c>
    </row>
    <row r="23" spans="1:8" x14ac:dyDescent="0.25">
      <c r="D23" s="2">
        <f t="shared" si="0"/>
        <v>0</v>
      </c>
    </row>
  </sheetData>
  <conditionalFormatting sqref="D2:D3 D5:D23">
    <cfRule type="cellIs" dxfId="1" priority="2" operator="greaterThan">
      <formula>49</formula>
    </cfRule>
  </conditionalFormatting>
  <conditionalFormatting sqref="D4">
    <cfRule type="cellIs" dxfId="0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6"/>
  <sheetViews>
    <sheetView view="pageBreakPreview" topLeftCell="A112" zoomScale="90" zoomScaleNormal="100" zoomScaleSheetLayoutView="90" workbookViewId="0">
      <selection activeCell="K136" sqref="K136"/>
    </sheetView>
  </sheetViews>
  <sheetFormatPr defaultRowHeight="15" x14ac:dyDescent="0.25"/>
  <cols>
    <col min="1" max="1" width="30.42578125" bestFit="1" customWidth="1"/>
    <col min="2" max="2" width="14.5703125" bestFit="1" customWidth="1"/>
    <col min="3" max="3" width="53.28515625" bestFit="1" customWidth="1"/>
    <col min="4" max="4" width="17.7109375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13.42578125" bestFit="1" customWidth="1"/>
    <col min="10" max="10" width="25.28515625" bestFit="1" customWidth="1"/>
    <col min="11" max="12" width="18.28515625" bestFit="1" customWidth="1"/>
    <col min="13" max="13" width="26" bestFit="1" customWidth="1"/>
    <col min="14" max="14" width="15" bestFit="1" customWidth="1"/>
    <col min="15" max="15" width="43.28515625" bestFit="1" customWidth="1"/>
    <col min="16" max="16" width="15.42578125" bestFit="1" customWidth="1"/>
    <col min="17" max="17" width="28.85546875" customWidth="1"/>
    <col min="18" max="18" width="16.28515625" bestFit="1" customWidth="1"/>
    <col min="19" max="19" width="43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</cols>
  <sheetData>
    <row r="1" spans="1:23" x14ac:dyDescent="0.25">
      <c r="A1" t="s">
        <v>0</v>
      </c>
      <c r="D1" s="1" t="s">
        <v>1</v>
      </c>
    </row>
    <row r="2" spans="1:23" x14ac:dyDescent="0.25">
      <c r="A2" t="s">
        <v>15</v>
      </c>
      <c r="B2" t="s">
        <v>16</v>
      </c>
      <c r="C2" t="s">
        <v>17</v>
      </c>
      <c r="D2" s="2">
        <f t="shared" ref="D2" si="0">LEN(C2)</f>
        <v>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4" t="str">
        <f>BXXPLC1!A5</f>
        <v>BXX</v>
      </c>
      <c r="B3" s="4" t="str">
        <f>BXXPLC1!B5</f>
        <v>Plant</v>
      </c>
      <c r="C3" s="4" t="str">
        <f>BXXPLC1!C5</f>
        <v>Station BXX</v>
      </c>
      <c r="D3" s="2">
        <f>LEN(C3)</f>
        <v>11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603</v>
      </c>
      <c r="B5" t="s">
        <v>16</v>
      </c>
      <c r="C5" t="s">
        <v>17</v>
      </c>
      <c r="D5" s="2"/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$A$3&amp;"_OVF1_FI1_DA_EL"</f>
        <v>BXX_OVF1_FI1_DA_EL</v>
      </c>
      <c r="B6" s="4" t="str">
        <f t="shared" ref="B6:B74" si="1">$A$3</f>
        <v>BXX</v>
      </c>
      <c r="C6" s="4" t="str">
        <f>$C$3&amp;" Overflow Loss of Echo"</f>
        <v>Station BXX Overflow Loss of Echo</v>
      </c>
      <c r="D6" s="2">
        <f t="shared" ref="D6" si="2">LEN(C6)</f>
        <v>33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62</v>
      </c>
      <c r="K6" t="s">
        <v>119</v>
      </c>
      <c r="L6" t="s">
        <v>61</v>
      </c>
      <c r="M6" s="5">
        <v>9</v>
      </c>
      <c r="N6" t="s">
        <v>57</v>
      </c>
      <c r="O6" s="4" t="str">
        <f>BXXPLC1!$C$3</f>
        <v>BXX</v>
      </c>
      <c r="P6" t="s">
        <v>14</v>
      </c>
      <c r="Q6" s="4" t="str">
        <f>A6&amp;".eng"</f>
        <v>BXX_OVF1_FI1_DA_EL.eng</v>
      </c>
      <c r="R6" t="s">
        <v>14</v>
      </c>
      <c r="S6" s="4" t="str">
        <f t="shared" ref="S6" si="3">C6</f>
        <v>Station BXX Overflow Loss of Echo</v>
      </c>
      <c r="T6">
        <v>0</v>
      </c>
      <c r="U6">
        <v>0</v>
      </c>
    </row>
    <row r="7" spans="1:23" x14ac:dyDescent="0.25">
      <c r="A7" s="4" t="str">
        <f>$A$3&amp;"_OVF1_FI1_PB_EL_RE"</f>
        <v>BXX_OVF1_FI1_PB_EL_RE</v>
      </c>
      <c r="B7" s="4" t="str">
        <f t="shared" si="1"/>
        <v>BXX</v>
      </c>
      <c r="C7" s="4" t="str">
        <f>$C$3&amp;" Overflow Loss of Echo Enable"</f>
        <v>Station BXX Overflow Loss of Echo Enable</v>
      </c>
      <c r="D7" s="2">
        <f t="shared" ref="D7" si="4">LEN(C7)</f>
        <v>40</v>
      </c>
      <c r="E7" t="s">
        <v>14</v>
      </c>
      <c r="F7" t="s">
        <v>13</v>
      </c>
      <c r="G7">
        <v>600</v>
      </c>
      <c r="H7" t="s">
        <v>13</v>
      </c>
      <c r="I7" t="s">
        <v>54</v>
      </c>
      <c r="J7" t="s">
        <v>60</v>
      </c>
      <c r="K7" t="s">
        <v>59</v>
      </c>
      <c r="L7" t="s">
        <v>56</v>
      </c>
      <c r="M7" s="5">
        <v>1</v>
      </c>
      <c r="N7" t="s">
        <v>57</v>
      </c>
      <c r="O7" s="4" t="str">
        <f t="shared" ref="O7:O38" si="5">$O$6</f>
        <v>BXX</v>
      </c>
      <c r="P7" t="s">
        <v>14</v>
      </c>
      <c r="Q7" s="4" t="str">
        <f>A6&amp;".RE"</f>
        <v>BXX_OVF1_FI1_DA_EL.RE</v>
      </c>
      <c r="R7" t="s">
        <v>14</v>
      </c>
      <c r="S7" s="4" t="str">
        <f t="shared" ref="S7" si="6">C7</f>
        <v>Station BXX Overflow Loss of Echo Enable</v>
      </c>
      <c r="T7">
        <v>0</v>
      </c>
      <c r="U7">
        <v>0</v>
      </c>
    </row>
    <row r="8" spans="1:23" x14ac:dyDescent="0.25">
      <c r="A8" s="4" t="str">
        <f>$A$3&amp;"_OVF1_FI1_PB_EL_DE"</f>
        <v>BXX_OVF1_FI1_PB_EL_DE</v>
      </c>
      <c r="B8" s="4" t="str">
        <f t="shared" si="1"/>
        <v>BXX</v>
      </c>
      <c r="C8" s="4" t="str">
        <f>$C$3&amp;" Overflow Loss of Echo Dialer En"</f>
        <v>Station BXX Overflow Loss of Echo Dialer En</v>
      </c>
      <c r="D8" s="2">
        <f t="shared" ref="D8:D11" si="7">LEN(C8)</f>
        <v>43</v>
      </c>
      <c r="E8" t="s">
        <v>14</v>
      </c>
      <c r="F8" t="s">
        <v>13</v>
      </c>
      <c r="G8">
        <v>600</v>
      </c>
      <c r="H8" t="s">
        <v>13</v>
      </c>
      <c r="I8" t="s">
        <v>54</v>
      </c>
      <c r="J8" t="s">
        <v>60</v>
      </c>
      <c r="K8" t="s">
        <v>59</v>
      </c>
      <c r="L8" t="s">
        <v>56</v>
      </c>
      <c r="M8" s="5">
        <v>1</v>
      </c>
      <c r="N8" t="s">
        <v>57</v>
      </c>
      <c r="O8" s="4" t="str">
        <f t="shared" si="5"/>
        <v>BXX</v>
      </c>
      <c r="P8" t="s">
        <v>14</v>
      </c>
      <c r="Q8" s="4" t="str">
        <f>A6&amp;".DE"</f>
        <v>BXX_OVF1_FI1_DA_EL.DE</v>
      </c>
      <c r="R8" t="s">
        <v>14</v>
      </c>
      <c r="S8" s="4" t="str">
        <f t="shared" ref="S8:S11" si="8">C8</f>
        <v>Station BXX Overflow Loss of Echo Dialer En</v>
      </c>
      <c r="T8">
        <v>0</v>
      </c>
      <c r="U8">
        <v>0</v>
      </c>
    </row>
    <row r="9" spans="1:23" x14ac:dyDescent="0.25">
      <c r="A9" s="4" t="str">
        <f>$A$3&amp;"_OVF1_FI1_PB_EL_SR"</f>
        <v>BXX_OVF1_FI1_PB_EL_SR</v>
      </c>
      <c r="B9" s="4" t="str">
        <f t="shared" si="1"/>
        <v>BXX</v>
      </c>
      <c r="C9" s="4" t="str">
        <f>$C$3&amp;" Overflow Loss of Echo Super En"</f>
        <v>Station BXX Overflow Loss of Echo Super En</v>
      </c>
      <c r="D9" s="2">
        <f t="shared" si="7"/>
        <v>42</v>
      </c>
      <c r="E9" t="s">
        <v>14</v>
      </c>
      <c r="F9" t="s">
        <v>13</v>
      </c>
      <c r="G9">
        <v>600</v>
      </c>
      <c r="H9" t="s">
        <v>13</v>
      </c>
      <c r="I9" t="s">
        <v>54</v>
      </c>
      <c r="J9" t="s">
        <v>60</v>
      </c>
      <c r="K9" t="s">
        <v>59</v>
      </c>
      <c r="L9" t="s">
        <v>56</v>
      </c>
      <c r="M9" s="5">
        <v>1</v>
      </c>
      <c r="N9" t="s">
        <v>57</v>
      </c>
      <c r="O9" s="4" t="str">
        <f t="shared" si="5"/>
        <v>BXX</v>
      </c>
      <c r="P9" t="s">
        <v>14</v>
      </c>
      <c r="Q9" s="4" t="str">
        <f>A6&amp;".SR"</f>
        <v>BXX_OVF1_FI1_DA_EL.SR</v>
      </c>
      <c r="R9" t="s">
        <v>14</v>
      </c>
      <c r="S9" s="4" t="str">
        <f t="shared" si="8"/>
        <v>Station BXX Overflow Loss of Echo Super En</v>
      </c>
      <c r="T9">
        <v>0</v>
      </c>
      <c r="U9">
        <v>0</v>
      </c>
    </row>
    <row r="10" spans="1:23" x14ac:dyDescent="0.25">
      <c r="A10" s="4" t="str">
        <f>$A$3&amp;"_WW01_LI1_DA_EL"</f>
        <v>BXX_WW01_LI1_DA_EL</v>
      </c>
      <c r="B10" s="4" t="str">
        <f t="shared" si="1"/>
        <v>BXX</v>
      </c>
      <c r="C10" s="4" t="str">
        <f>$C$3&amp;" Wet Well 1 Loss of Echo"</f>
        <v>Station BXX Wet Well 1 Loss of Echo</v>
      </c>
      <c r="D10" s="2">
        <f t="shared" si="7"/>
        <v>35</v>
      </c>
      <c r="E10" t="s">
        <v>14</v>
      </c>
      <c r="F10" t="s">
        <v>14</v>
      </c>
      <c r="G10">
        <v>0</v>
      </c>
      <c r="H10" t="s">
        <v>13</v>
      </c>
      <c r="I10" t="s">
        <v>54</v>
      </c>
      <c r="J10" t="s">
        <v>62</v>
      </c>
      <c r="K10" t="s">
        <v>119</v>
      </c>
      <c r="L10" t="s">
        <v>61</v>
      </c>
      <c r="M10" s="5">
        <v>9</v>
      </c>
      <c r="N10" t="s">
        <v>57</v>
      </c>
      <c r="O10" s="4" t="str">
        <f t="shared" si="5"/>
        <v>BXX</v>
      </c>
      <c r="P10" t="s">
        <v>14</v>
      </c>
      <c r="Q10" s="4" t="str">
        <f>A10&amp;".eng"</f>
        <v>BXX_WW01_LI1_DA_EL.eng</v>
      </c>
      <c r="R10" t="s">
        <v>14</v>
      </c>
      <c r="S10" s="4" t="str">
        <f t="shared" si="8"/>
        <v>Station BXX Wet Well 1 Loss of Echo</v>
      </c>
      <c r="T10">
        <v>0</v>
      </c>
      <c r="U10">
        <v>0</v>
      </c>
    </row>
    <row r="11" spans="1:23" x14ac:dyDescent="0.25">
      <c r="A11" s="4" t="str">
        <f>$A$3&amp;"_WW01_LI1_PB_EL_RE"</f>
        <v>BXX_WW01_LI1_PB_EL_RE</v>
      </c>
      <c r="B11" s="4" t="str">
        <f t="shared" si="1"/>
        <v>BXX</v>
      </c>
      <c r="C11" s="4" t="str">
        <f>$C$3&amp;" Wet Well 1 Loss of Echo Enable"</f>
        <v>Station BXX Wet Well 1 Loss of Echo Enable</v>
      </c>
      <c r="D11" s="2">
        <f t="shared" si="7"/>
        <v>42</v>
      </c>
      <c r="E11" t="s">
        <v>14</v>
      </c>
      <c r="F11" t="s">
        <v>13</v>
      </c>
      <c r="G11">
        <v>600</v>
      </c>
      <c r="H11" t="s">
        <v>13</v>
      </c>
      <c r="I11" t="s">
        <v>54</v>
      </c>
      <c r="J11" t="s">
        <v>60</v>
      </c>
      <c r="K11" t="s">
        <v>59</v>
      </c>
      <c r="L11" t="s">
        <v>56</v>
      </c>
      <c r="M11" s="5">
        <v>1</v>
      </c>
      <c r="N11" t="s">
        <v>57</v>
      </c>
      <c r="O11" s="4" t="str">
        <f t="shared" si="5"/>
        <v>BXX</v>
      </c>
      <c r="P11" t="s">
        <v>14</v>
      </c>
      <c r="Q11" s="4" t="str">
        <f>A10&amp;".RE"</f>
        <v>BXX_WW01_LI1_DA_EL.RE</v>
      </c>
      <c r="R11" t="s">
        <v>14</v>
      </c>
      <c r="S11" s="4" t="str">
        <f t="shared" si="8"/>
        <v>Station BXX Wet Well 1 Loss of Echo Enable</v>
      </c>
      <c r="T11">
        <v>0</v>
      </c>
      <c r="U11">
        <v>0</v>
      </c>
    </row>
    <row r="12" spans="1:23" x14ac:dyDescent="0.25">
      <c r="A12" s="4" t="str">
        <f>$A$3&amp;"_WW01_LI1_PB_EL_DE"</f>
        <v>BXX_WW01_LI1_PB_EL_DE</v>
      </c>
      <c r="B12" s="4" t="str">
        <f t="shared" si="1"/>
        <v>BXX</v>
      </c>
      <c r="C12" s="4" t="str">
        <f>$C$3&amp;" Wet Well 1 Loss of Echo Dialer En"</f>
        <v>Station BXX Wet Well 1 Loss of Echo Dialer En</v>
      </c>
      <c r="D12" s="2">
        <f t="shared" ref="D12:D15" si="9">LEN(C12)</f>
        <v>45</v>
      </c>
      <c r="E12" t="s">
        <v>14</v>
      </c>
      <c r="F12" t="s">
        <v>13</v>
      </c>
      <c r="G12">
        <v>600</v>
      </c>
      <c r="H12" t="s">
        <v>13</v>
      </c>
      <c r="I12" t="s">
        <v>54</v>
      </c>
      <c r="J12" t="s">
        <v>60</v>
      </c>
      <c r="K12" t="s">
        <v>59</v>
      </c>
      <c r="L12" t="s">
        <v>56</v>
      </c>
      <c r="M12" s="5">
        <v>1</v>
      </c>
      <c r="N12" t="s">
        <v>57</v>
      </c>
      <c r="O12" s="4" t="str">
        <f t="shared" si="5"/>
        <v>BXX</v>
      </c>
      <c r="P12" t="s">
        <v>14</v>
      </c>
      <c r="Q12" s="4" t="str">
        <f>A10&amp;".DE"</f>
        <v>BXX_WW01_LI1_DA_EL.DE</v>
      </c>
      <c r="R12" t="s">
        <v>14</v>
      </c>
      <c r="S12" s="4" t="str">
        <f t="shared" ref="S12:S15" si="10">C12</f>
        <v>Station BXX Wet Well 1 Loss of Echo Dialer En</v>
      </c>
      <c r="T12">
        <v>0</v>
      </c>
      <c r="U12">
        <v>0</v>
      </c>
    </row>
    <row r="13" spans="1:23" x14ac:dyDescent="0.25">
      <c r="A13" s="4" t="str">
        <f>$A$3&amp;"_WW01_LI1_PB_EL_SR"</f>
        <v>BXX_WW01_LI1_PB_EL_SR</v>
      </c>
      <c r="B13" s="4" t="str">
        <f t="shared" si="1"/>
        <v>BXX</v>
      </c>
      <c r="C13" s="4" t="str">
        <f>$C$3&amp;" Wet Well 1 Loss of Echo Super En"</f>
        <v>Station BXX Wet Well 1 Loss of Echo Super En</v>
      </c>
      <c r="D13" s="2">
        <f t="shared" si="9"/>
        <v>44</v>
      </c>
      <c r="E13" t="s">
        <v>14</v>
      </c>
      <c r="F13" t="s">
        <v>13</v>
      </c>
      <c r="G13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 s="5">
        <v>1</v>
      </c>
      <c r="N13" t="s">
        <v>57</v>
      </c>
      <c r="O13" s="4" t="str">
        <f t="shared" si="5"/>
        <v>BXX</v>
      </c>
      <c r="P13" t="s">
        <v>14</v>
      </c>
      <c r="Q13" s="4" t="str">
        <f>A10&amp;".SR"</f>
        <v>BXX_WW01_LI1_DA_EL.SR</v>
      </c>
      <c r="R13" t="s">
        <v>14</v>
      </c>
      <c r="S13" s="4" t="str">
        <f t="shared" si="10"/>
        <v>Station BXX Wet Well 1 Loss of Echo Super En</v>
      </c>
      <c r="T13">
        <v>0</v>
      </c>
      <c r="U13">
        <v>0</v>
      </c>
    </row>
    <row r="14" spans="1:23" x14ac:dyDescent="0.25">
      <c r="A14" s="4" t="str">
        <f>$A$3&amp;"_WW01_LE1_DA_HH"</f>
        <v>BXX_WW01_LE1_DA_HH</v>
      </c>
      <c r="B14" s="4" t="str">
        <f t="shared" si="1"/>
        <v>BXX</v>
      </c>
      <c r="C14" s="4" t="str">
        <f>$C$3&amp;" Wet Well 1 High Level Float"</f>
        <v>Station BXX Wet Well 1 High Level Float</v>
      </c>
      <c r="D14" s="2">
        <f t="shared" si="9"/>
        <v>39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9</v>
      </c>
      <c r="N14" t="s">
        <v>57</v>
      </c>
      <c r="O14" s="4" t="str">
        <f t="shared" si="5"/>
        <v>BXX</v>
      </c>
      <c r="P14" t="s">
        <v>14</v>
      </c>
      <c r="Q14" s="4" t="str">
        <f>A14&amp;".eng"</f>
        <v>BXX_WW01_LE1_DA_HH.eng</v>
      </c>
      <c r="R14" t="s">
        <v>14</v>
      </c>
      <c r="S14" s="4" t="str">
        <f t="shared" si="10"/>
        <v>Station BXX Wet Well 1 High Level Float</v>
      </c>
      <c r="T14">
        <v>0</v>
      </c>
      <c r="U14">
        <v>0</v>
      </c>
    </row>
    <row r="15" spans="1:23" x14ac:dyDescent="0.25">
      <c r="A15" s="4" t="str">
        <f>$A$3&amp;"_WW01_LE1_PB_HH_RE"</f>
        <v>BXX_WW01_LE1_PB_HH_RE</v>
      </c>
      <c r="B15" s="4" t="str">
        <f t="shared" si="1"/>
        <v>BXX</v>
      </c>
      <c r="C15" s="4" t="str">
        <f>$C$3&amp;" Wet Well 1 High Level Float Enable"</f>
        <v>Station BXX Wet Well 1 High Level Float Enable</v>
      </c>
      <c r="D15" s="2">
        <f t="shared" si="9"/>
        <v>46</v>
      </c>
      <c r="E15" t="s">
        <v>14</v>
      </c>
      <c r="F15" t="s">
        <v>13</v>
      </c>
      <c r="G1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 s="5">
        <v>1</v>
      </c>
      <c r="N15" t="s">
        <v>57</v>
      </c>
      <c r="O15" s="4" t="str">
        <f t="shared" si="5"/>
        <v>BXX</v>
      </c>
      <c r="P15" t="s">
        <v>14</v>
      </c>
      <c r="Q15" s="4" t="str">
        <f>A14&amp;".RE"</f>
        <v>BXX_WW01_LE1_DA_HH.RE</v>
      </c>
      <c r="R15" t="s">
        <v>14</v>
      </c>
      <c r="S15" s="4" t="str">
        <f t="shared" si="10"/>
        <v>Station BXX Wet Well 1 High Level Float Enable</v>
      </c>
      <c r="T15">
        <v>0</v>
      </c>
      <c r="U15">
        <v>0</v>
      </c>
    </row>
    <row r="16" spans="1:23" x14ac:dyDescent="0.25">
      <c r="A16" s="4" t="str">
        <f>$A$3&amp;"_WW01_LE1_PB_HH_DE"</f>
        <v>BXX_WW01_LE1_PB_HH_DE</v>
      </c>
      <c r="B16" s="4" t="str">
        <f t="shared" si="1"/>
        <v>BXX</v>
      </c>
      <c r="C16" s="4" t="str">
        <f>$C$3&amp;" Wet Well 1 High Level Float Dialer En"</f>
        <v>Station BXX Wet Well 1 High Level Float Dialer En</v>
      </c>
      <c r="D16" s="2">
        <f t="shared" ref="D16:D23" si="11">LEN(C16)</f>
        <v>49</v>
      </c>
      <c r="E16" t="s">
        <v>14</v>
      </c>
      <c r="F16" t="s">
        <v>13</v>
      </c>
      <c r="G16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 s="5">
        <v>1</v>
      </c>
      <c r="N16" t="s">
        <v>57</v>
      </c>
      <c r="O16" s="4" t="str">
        <f t="shared" si="5"/>
        <v>BXX</v>
      </c>
      <c r="P16" t="s">
        <v>14</v>
      </c>
      <c r="Q16" s="4" t="str">
        <f>A14&amp;".DE"</f>
        <v>BXX_WW01_LE1_DA_HH.DE</v>
      </c>
      <c r="R16" t="s">
        <v>14</v>
      </c>
      <c r="S16" s="4" t="str">
        <f t="shared" ref="S16:S23" si="12">C16</f>
        <v>Station BXX Wet Well 1 High Level Float Dialer En</v>
      </c>
      <c r="T16">
        <v>0</v>
      </c>
      <c r="U16">
        <v>0</v>
      </c>
    </row>
    <row r="17" spans="1:21" x14ac:dyDescent="0.25">
      <c r="A17" s="4" t="str">
        <f>$A$3&amp;"_WW01_LE1_PB_HH_SR"</f>
        <v>BXX_WW01_LE1_PB_HH_SR</v>
      </c>
      <c r="B17" s="4" t="str">
        <f t="shared" si="1"/>
        <v>BXX</v>
      </c>
      <c r="C17" s="4" t="str">
        <f>$C$3&amp;" Wet Well 1 High Level Float Super En"</f>
        <v>Station BXX Wet Well 1 High Level Float Super En</v>
      </c>
      <c r="D17" s="2">
        <f t="shared" si="11"/>
        <v>48</v>
      </c>
      <c r="E17" t="s">
        <v>14</v>
      </c>
      <c r="F17" t="s">
        <v>13</v>
      </c>
      <c r="G17">
        <v>600</v>
      </c>
      <c r="H17" t="s">
        <v>13</v>
      </c>
      <c r="I17" t="s">
        <v>54</v>
      </c>
      <c r="J17" t="s">
        <v>60</v>
      </c>
      <c r="K17" t="s">
        <v>59</v>
      </c>
      <c r="L17" t="s">
        <v>56</v>
      </c>
      <c r="M17" s="5">
        <v>1</v>
      </c>
      <c r="N17" t="s">
        <v>57</v>
      </c>
      <c r="O17" s="4" t="str">
        <f t="shared" si="5"/>
        <v>BXX</v>
      </c>
      <c r="P17" t="s">
        <v>14</v>
      </c>
      <c r="Q17" s="4" t="str">
        <f>A14&amp;".SR"</f>
        <v>BXX_WW01_LE1_DA_HH.SR</v>
      </c>
      <c r="R17" t="s">
        <v>14</v>
      </c>
      <c r="S17" s="4" t="str">
        <f t="shared" si="12"/>
        <v>Station BXX Wet Well 1 High Level Float Super En</v>
      </c>
      <c r="T17">
        <v>0</v>
      </c>
      <c r="U17">
        <v>0</v>
      </c>
    </row>
    <row r="18" spans="1:21" x14ac:dyDescent="0.25">
      <c r="A18" s="4" t="str">
        <f>$A$3&amp;"_WW02_LI1_DA_EL"</f>
        <v>BXX_WW02_LI1_DA_EL</v>
      </c>
      <c r="B18" s="4" t="str">
        <f t="shared" si="1"/>
        <v>BXX</v>
      </c>
      <c r="C18" s="4" t="str">
        <f>$C$3&amp;" Wet Well 2 Loss of Echo"</f>
        <v>Station BXX Wet Well 2 Loss of Echo</v>
      </c>
      <c r="D18" s="2">
        <f t="shared" si="11"/>
        <v>35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62</v>
      </c>
      <c r="K18" t="s">
        <v>119</v>
      </c>
      <c r="L18" t="s">
        <v>61</v>
      </c>
      <c r="M18" s="5">
        <v>9</v>
      </c>
      <c r="N18" t="s">
        <v>57</v>
      </c>
      <c r="O18" s="4" t="str">
        <f t="shared" si="5"/>
        <v>BXX</v>
      </c>
      <c r="P18" t="s">
        <v>14</v>
      </c>
      <c r="Q18" s="4" t="str">
        <f>A18&amp;".eng"</f>
        <v>BXX_WW02_LI1_DA_EL.eng</v>
      </c>
      <c r="R18" t="s">
        <v>14</v>
      </c>
      <c r="S18" s="4" t="str">
        <f t="shared" si="12"/>
        <v>Station BXX Wet Well 2 Loss of Echo</v>
      </c>
      <c r="T18">
        <v>0</v>
      </c>
      <c r="U18">
        <v>0</v>
      </c>
    </row>
    <row r="19" spans="1:21" x14ac:dyDescent="0.25">
      <c r="A19" s="4" t="str">
        <f>$A$3&amp;"_WW02_LI1_PB_EL_RE"</f>
        <v>BXX_WW02_LI1_PB_EL_RE</v>
      </c>
      <c r="B19" s="4" t="str">
        <f t="shared" si="1"/>
        <v>BXX</v>
      </c>
      <c r="C19" s="4" t="str">
        <f>$C$3&amp;" Wet Well 2 Loss of Echo Enable"</f>
        <v>Station BXX Wet Well 2 Loss of Echo Enable</v>
      </c>
      <c r="D19" s="2">
        <f t="shared" si="11"/>
        <v>42</v>
      </c>
      <c r="E19" t="s">
        <v>14</v>
      </c>
      <c r="F19" t="s">
        <v>13</v>
      </c>
      <c r="G19">
        <v>600</v>
      </c>
      <c r="H19" t="s">
        <v>13</v>
      </c>
      <c r="I19" t="s">
        <v>54</v>
      </c>
      <c r="J19" t="s">
        <v>60</v>
      </c>
      <c r="K19" t="s">
        <v>59</v>
      </c>
      <c r="L19" t="s">
        <v>56</v>
      </c>
      <c r="M19" s="5">
        <v>1</v>
      </c>
      <c r="N19" t="s">
        <v>57</v>
      </c>
      <c r="O19" s="4" t="str">
        <f t="shared" si="5"/>
        <v>BXX</v>
      </c>
      <c r="P19" t="s">
        <v>14</v>
      </c>
      <c r="Q19" s="4" t="str">
        <f>A18&amp;".RE"</f>
        <v>BXX_WW02_LI1_DA_EL.RE</v>
      </c>
      <c r="R19" t="s">
        <v>14</v>
      </c>
      <c r="S19" s="4" t="str">
        <f t="shared" si="12"/>
        <v>Station BXX Wet Well 2 Loss of Echo Enable</v>
      </c>
      <c r="T19">
        <v>0</v>
      </c>
      <c r="U19">
        <v>0</v>
      </c>
    </row>
    <row r="20" spans="1:21" x14ac:dyDescent="0.25">
      <c r="A20" s="4" t="str">
        <f>$A$3&amp;"_WW02_LI1_PB_EL_DE"</f>
        <v>BXX_WW02_LI1_PB_EL_DE</v>
      </c>
      <c r="B20" s="4" t="str">
        <f t="shared" si="1"/>
        <v>BXX</v>
      </c>
      <c r="C20" s="4" t="str">
        <f>$C$3&amp;" Wet Well 2 Loss of Echo Dialer En"</f>
        <v>Station BXX Wet Well 2 Loss of Echo Dialer En</v>
      </c>
      <c r="D20" s="2">
        <f t="shared" si="11"/>
        <v>45</v>
      </c>
      <c r="E20" t="s">
        <v>14</v>
      </c>
      <c r="F20" t="s">
        <v>13</v>
      </c>
      <c r="G20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 s="5">
        <v>1</v>
      </c>
      <c r="N20" t="s">
        <v>57</v>
      </c>
      <c r="O20" s="4" t="str">
        <f t="shared" si="5"/>
        <v>BXX</v>
      </c>
      <c r="P20" t="s">
        <v>14</v>
      </c>
      <c r="Q20" s="4" t="str">
        <f>A18&amp;".DE"</f>
        <v>BXX_WW02_LI1_DA_EL.DE</v>
      </c>
      <c r="R20" t="s">
        <v>14</v>
      </c>
      <c r="S20" s="4" t="str">
        <f t="shared" si="12"/>
        <v>Station BXX Wet Well 2 Loss of Echo Dialer En</v>
      </c>
      <c r="T20">
        <v>0</v>
      </c>
      <c r="U20">
        <v>0</v>
      </c>
    </row>
    <row r="21" spans="1:21" x14ac:dyDescent="0.25">
      <c r="A21" s="4" t="str">
        <f>$A$3&amp;"_WW02_LI1_PB_EL_SR"</f>
        <v>BXX_WW02_LI1_PB_EL_SR</v>
      </c>
      <c r="B21" s="4" t="str">
        <f t="shared" si="1"/>
        <v>BXX</v>
      </c>
      <c r="C21" s="4" t="str">
        <f>$C$3&amp;" Wet Well 2 Loss of Echo Super En"</f>
        <v>Station BXX Wet Well 2 Loss of Echo Super En</v>
      </c>
      <c r="D21" s="2">
        <f t="shared" si="11"/>
        <v>44</v>
      </c>
      <c r="E21" t="s">
        <v>14</v>
      </c>
      <c r="F21" t="s">
        <v>13</v>
      </c>
      <c r="G21">
        <v>600</v>
      </c>
      <c r="H21" t="s">
        <v>13</v>
      </c>
      <c r="I21" t="s">
        <v>54</v>
      </c>
      <c r="J21" t="s">
        <v>60</v>
      </c>
      <c r="K21" t="s">
        <v>59</v>
      </c>
      <c r="L21" t="s">
        <v>56</v>
      </c>
      <c r="M21" s="5">
        <v>1</v>
      </c>
      <c r="N21" t="s">
        <v>57</v>
      </c>
      <c r="O21" s="4" t="str">
        <f t="shared" si="5"/>
        <v>BXX</v>
      </c>
      <c r="P21" t="s">
        <v>14</v>
      </c>
      <c r="Q21" s="4" t="str">
        <f>A18&amp;".SR"</f>
        <v>BXX_WW02_LI1_DA_EL.SR</v>
      </c>
      <c r="R21" t="s">
        <v>14</v>
      </c>
      <c r="S21" s="4" t="str">
        <f t="shared" si="12"/>
        <v>Station BXX Wet Well 2 Loss of Echo Super En</v>
      </c>
      <c r="T21">
        <v>0</v>
      </c>
      <c r="U21">
        <v>0</v>
      </c>
    </row>
    <row r="22" spans="1:21" x14ac:dyDescent="0.25">
      <c r="A22" s="4" t="str">
        <f>$A$3&amp;"_WW02_LE1_DA_HH"</f>
        <v>BXX_WW02_LE1_DA_HH</v>
      </c>
      <c r="B22" s="4" t="str">
        <f t="shared" si="1"/>
        <v>BXX</v>
      </c>
      <c r="C22" s="4" t="str">
        <f>$C$3&amp;" Wet Well 2 High Level Float"</f>
        <v>Station BXX Wet Well 2 High Level Float</v>
      </c>
      <c r="D22" s="2">
        <f t="shared" si="11"/>
        <v>39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62</v>
      </c>
      <c r="K22" t="s">
        <v>119</v>
      </c>
      <c r="L22" t="s">
        <v>61</v>
      </c>
      <c r="M22" s="5">
        <v>9</v>
      </c>
      <c r="N22" t="s">
        <v>57</v>
      </c>
      <c r="O22" s="4" t="str">
        <f t="shared" si="5"/>
        <v>BXX</v>
      </c>
      <c r="P22" t="s">
        <v>14</v>
      </c>
      <c r="Q22" s="4" t="str">
        <f>A22&amp;".eng"</f>
        <v>BXX_WW02_LE1_DA_HH.eng</v>
      </c>
      <c r="R22" t="s">
        <v>14</v>
      </c>
      <c r="S22" s="4" t="str">
        <f t="shared" si="12"/>
        <v>Station BXX Wet Well 2 High Level Float</v>
      </c>
      <c r="T22">
        <v>0</v>
      </c>
      <c r="U22">
        <v>0</v>
      </c>
    </row>
    <row r="23" spans="1:21" x14ac:dyDescent="0.25">
      <c r="A23" s="4" t="str">
        <f>$A$3&amp;"_WW02_LE1_PB_HH_RE"</f>
        <v>BXX_WW02_LE1_PB_HH_RE</v>
      </c>
      <c r="B23" s="4" t="str">
        <f t="shared" si="1"/>
        <v>BXX</v>
      </c>
      <c r="C23" s="4" t="str">
        <f>$C$3&amp;" Wet Well 2 High Level Float Enable"</f>
        <v>Station BXX Wet Well 2 High Level Float Enable</v>
      </c>
      <c r="D23" s="2">
        <f t="shared" si="11"/>
        <v>46</v>
      </c>
      <c r="E23" t="s">
        <v>14</v>
      </c>
      <c r="F23" t="s">
        <v>13</v>
      </c>
      <c r="G23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 s="5">
        <v>1</v>
      </c>
      <c r="N23" t="s">
        <v>57</v>
      </c>
      <c r="O23" s="4" t="str">
        <f t="shared" si="5"/>
        <v>BXX</v>
      </c>
      <c r="P23" t="s">
        <v>14</v>
      </c>
      <c r="Q23" s="4" t="str">
        <f>A22&amp;".RE"</f>
        <v>BXX_WW02_LE1_DA_HH.RE</v>
      </c>
      <c r="R23" t="s">
        <v>14</v>
      </c>
      <c r="S23" s="4" t="str">
        <f t="shared" si="12"/>
        <v>Station BXX Wet Well 2 High Level Float Enable</v>
      </c>
      <c r="T23">
        <v>0</v>
      </c>
      <c r="U23">
        <v>0</v>
      </c>
    </row>
    <row r="24" spans="1:21" x14ac:dyDescent="0.25">
      <c r="A24" s="4" t="str">
        <f>$A$3&amp;"_WW02_LE1_PB_HH_DE"</f>
        <v>BXX_WW02_LE1_PB_HH_DE</v>
      </c>
      <c r="B24" s="4" t="str">
        <f t="shared" si="1"/>
        <v>BXX</v>
      </c>
      <c r="C24" s="4" t="str">
        <f>$C$3&amp;" Wet Well 2 High Level Float Dialer En"</f>
        <v>Station BXX Wet Well 2 High Level Float Dialer En</v>
      </c>
      <c r="D24" s="2">
        <f t="shared" ref="D24:D27" si="13">LEN(C24)</f>
        <v>49</v>
      </c>
      <c r="E24" t="s">
        <v>14</v>
      </c>
      <c r="F24" t="s">
        <v>13</v>
      </c>
      <c r="G24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 s="5">
        <v>1</v>
      </c>
      <c r="N24" t="s">
        <v>57</v>
      </c>
      <c r="O24" s="4" t="str">
        <f t="shared" si="5"/>
        <v>BXX</v>
      </c>
      <c r="P24" t="s">
        <v>14</v>
      </c>
      <c r="Q24" s="4" t="str">
        <f>A22&amp;".DE"</f>
        <v>BXX_WW02_LE1_DA_HH.DE</v>
      </c>
      <c r="R24" t="s">
        <v>14</v>
      </c>
      <c r="S24" s="4" t="str">
        <f t="shared" ref="S24:S27" si="14">C24</f>
        <v>Station BXX Wet Well 2 High Level Float Dialer En</v>
      </c>
      <c r="T24">
        <v>0</v>
      </c>
      <c r="U24">
        <v>0</v>
      </c>
    </row>
    <row r="25" spans="1:21" x14ac:dyDescent="0.25">
      <c r="A25" s="4" t="str">
        <f>$A$3&amp;"_WW02_LE1_PB_HH_SR"</f>
        <v>BXX_WW02_LE1_PB_HH_SR</v>
      </c>
      <c r="B25" s="4" t="str">
        <f t="shared" si="1"/>
        <v>BXX</v>
      </c>
      <c r="C25" s="4" t="str">
        <f>$C$3&amp;" Wet Well 2 High Level Float Super En"</f>
        <v>Station BXX Wet Well 2 High Level Float Super En</v>
      </c>
      <c r="D25" s="2">
        <f t="shared" si="13"/>
        <v>48</v>
      </c>
      <c r="E25" t="s">
        <v>14</v>
      </c>
      <c r="F25" t="s">
        <v>13</v>
      </c>
      <c r="G2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 s="5">
        <v>1</v>
      </c>
      <c r="N25" t="s">
        <v>57</v>
      </c>
      <c r="O25" s="4" t="str">
        <f t="shared" si="5"/>
        <v>BXX</v>
      </c>
      <c r="P25" t="s">
        <v>14</v>
      </c>
      <c r="Q25" s="4" t="str">
        <f>A22&amp;".SR"</f>
        <v>BXX_WW02_LE1_DA_HH.SR</v>
      </c>
      <c r="R25" t="s">
        <v>14</v>
      </c>
      <c r="S25" s="4" t="str">
        <f t="shared" si="14"/>
        <v>Station BXX Wet Well 2 High Level Float Super En</v>
      </c>
      <c r="T25">
        <v>0</v>
      </c>
      <c r="U25">
        <v>0</v>
      </c>
    </row>
    <row r="26" spans="1:21" x14ac:dyDescent="0.25">
      <c r="A26" s="4" t="str">
        <f>$A$3&amp;"_PSB1_CP1_DA_JR"</f>
        <v>BXX_PSB1_CP1_DA_JR</v>
      </c>
      <c r="B26" s="4" t="str">
        <f t="shared" si="1"/>
        <v>BXX</v>
      </c>
      <c r="C26" s="4" t="str">
        <f>$C$3&amp;" Control Power Failure"</f>
        <v>Station BXX Control Power Failure</v>
      </c>
      <c r="D26" s="2">
        <f t="shared" si="13"/>
        <v>33</v>
      </c>
      <c r="E26" t="s">
        <v>14</v>
      </c>
      <c r="F26" t="s">
        <v>14</v>
      </c>
      <c r="G26">
        <v>0</v>
      </c>
      <c r="H26" t="s">
        <v>13</v>
      </c>
      <c r="I26" t="s">
        <v>54</v>
      </c>
      <c r="J26" t="s">
        <v>62</v>
      </c>
      <c r="K26" t="s">
        <v>119</v>
      </c>
      <c r="L26" t="s">
        <v>61</v>
      </c>
      <c r="M26" s="5">
        <v>48</v>
      </c>
      <c r="N26" t="s">
        <v>57</v>
      </c>
      <c r="O26" s="4" t="str">
        <f t="shared" si="5"/>
        <v>BXX</v>
      </c>
      <c r="P26" t="s">
        <v>14</v>
      </c>
      <c r="Q26" s="4" t="str">
        <f>A26&amp;".eng"</f>
        <v>BXX_PSB1_CP1_DA_JR.eng</v>
      </c>
      <c r="R26" t="s">
        <v>14</v>
      </c>
      <c r="S26" s="4" t="str">
        <f t="shared" si="14"/>
        <v>Station BXX Control Power Failure</v>
      </c>
      <c r="T26">
        <v>0</v>
      </c>
      <c r="U26">
        <v>0</v>
      </c>
    </row>
    <row r="27" spans="1:21" x14ac:dyDescent="0.25">
      <c r="A27" s="4" t="str">
        <f>LEFT(A26,12)&amp;"_PB_"&amp;RIGHT(A26,2)&amp;"_RE"</f>
        <v>BXX_PSB1_CP1_PB_JR_RE</v>
      </c>
      <c r="B27" s="4" t="str">
        <f t="shared" si="1"/>
        <v>BXX</v>
      </c>
      <c r="C27" s="4" t="str">
        <f>C26 &amp;" Enable"</f>
        <v>Station BXX Control Power Failure Enable</v>
      </c>
      <c r="D27" s="2">
        <f t="shared" si="13"/>
        <v>40</v>
      </c>
      <c r="E27" t="s">
        <v>14</v>
      </c>
      <c r="F27" t="s">
        <v>13</v>
      </c>
      <c r="G27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 s="5">
        <v>1</v>
      </c>
      <c r="N27" t="s">
        <v>57</v>
      </c>
      <c r="O27" s="4" t="str">
        <f t="shared" si="5"/>
        <v>BXX</v>
      </c>
      <c r="P27" t="s">
        <v>14</v>
      </c>
      <c r="Q27" s="4" t="str">
        <f>A26&amp;".RE"</f>
        <v>BXX_PSB1_CP1_DA_JR.RE</v>
      </c>
      <c r="R27" t="s">
        <v>14</v>
      </c>
      <c r="S27" s="4" t="str">
        <f t="shared" si="14"/>
        <v>Station BXX Control Power Failure Enable</v>
      </c>
      <c r="T27">
        <v>0</v>
      </c>
      <c r="U27">
        <v>0</v>
      </c>
    </row>
    <row r="28" spans="1:21" x14ac:dyDescent="0.25">
      <c r="A28" s="4" t="str">
        <f>LEFT(A26,12)&amp;"_PB_"&amp;RIGHT(A26,2)&amp;"_DE"</f>
        <v>BXX_PSB1_CP1_PB_JR_DE</v>
      </c>
      <c r="B28" s="4" t="str">
        <f t="shared" si="1"/>
        <v>BXX</v>
      </c>
      <c r="C28" s="4" t="str">
        <f>$C26&amp;" Dialer En"</f>
        <v>Station BXX Control Power Failure Dialer En</v>
      </c>
      <c r="D28" s="2">
        <f t="shared" ref="D28:D31" si="15">LEN(C28)</f>
        <v>43</v>
      </c>
      <c r="E28" t="s">
        <v>14</v>
      </c>
      <c r="F28" t="s">
        <v>13</v>
      </c>
      <c r="G28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 s="5">
        <v>1</v>
      </c>
      <c r="N28" t="s">
        <v>57</v>
      </c>
      <c r="O28" s="4" t="str">
        <f t="shared" si="5"/>
        <v>BXX</v>
      </c>
      <c r="P28" t="s">
        <v>14</v>
      </c>
      <c r="Q28" s="4" t="str">
        <f>A26&amp;".DE"</f>
        <v>BXX_PSB1_CP1_DA_JR.DE</v>
      </c>
      <c r="R28" t="s">
        <v>14</v>
      </c>
      <c r="S28" s="4" t="str">
        <f t="shared" ref="S28:S31" si="16">C28</f>
        <v>Station BXX Control Power Failure Dialer En</v>
      </c>
      <c r="T28">
        <v>0</v>
      </c>
      <c r="U28">
        <v>0</v>
      </c>
    </row>
    <row r="29" spans="1:21" x14ac:dyDescent="0.25">
      <c r="A29" s="4" t="str">
        <f>LEFT(A26,12)&amp;"_PB_"&amp;RIGHT(A26,2)&amp;"_SR"</f>
        <v>BXX_PSB1_CP1_PB_JR_SR</v>
      </c>
      <c r="B29" s="4" t="str">
        <f t="shared" si="1"/>
        <v>BXX</v>
      </c>
      <c r="C29" s="4" t="str">
        <f>$C26&amp;" Super En"</f>
        <v>Station BXX Control Power Failure Super En</v>
      </c>
      <c r="D29" s="2">
        <f t="shared" si="15"/>
        <v>42</v>
      </c>
      <c r="E29" t="s">
        <v>14</v>
      </c>
      <c r="F29" t="s">
        <v>13</v>
      </c>
      <c r="G29">
        <v>600</v>
      </c>
      <c r="H29" t="s">
        <v>13</v>
      </c>
      <c r="I29" t="s">
        <v>54</v>
      </c>
      <c r="J29" t="s">
        <v>60</v>
      </c>
      <c r="K29" t="s">
        <v>59</v>
      </c>
      <c r="L29" t="s">
        <v>56</v>
      </c>
      <c r="M29" s="5">
        <v>1</v>
      </c>
      <c r="N29" t="s">
        <v>57</v>
      </c>
      <c r="O29" s="4" t="str">
        <f t="shared" si="5"/>
        <v>BXX</v>
      </c>
      <c r="P29" t="s">
        <v>14</v>
      </c>
      <c r="Q29" s="4" t="str">
        <f>A26&amp;".SR"</f>
        <v>BXX_PSB1_CP1_DA_JR.SR</v>
      </c>
      <c r="R29" t="s">
        <v>14</v>
      </c>
      <c r="S29" s="4" t="str">
        <f t="shared" si="16"/>
        <v>Station BXX Control Power Failure Super En</v>
      </c>
      <c r="T29">
        <v>0</v>
      </c>
      <c r="U29">
        <v>0</v>
      </c>
    </row>
    <row r="30" spans="1:21" x14ac:dyDescent="0.25">
      <c r="A30" s="4" t="str">
        <f>$A$3&amp;"_UPS1_001_DA_GA"</f>
        <v>BXX_UPS1_001_DA_GA</v>
      </c>
      <c r="B30" s="4" t="str">
        <f t="shared" si="1"/>
        <v>BXX</v>
      </c>
      <c r="C30" s="4" t="str">
        <f>$C$3&amp;" Main UPS Fault"</f>
        <v>Station BXX Main UPS Fault</v>
      </c>
      <c r="D30" s="2">
        <f t="shared" si="15"/>
        <v>26</v>
      </c>
      <c r="E30" t="s">
        <v>14</v>
      </c>
      <c r="F30" t="s">
        <v>14</v>
      </c>
      <c r="G30">
        <v>0</v>
      </c>
      <c r="H30" t="s">
        <v>13</v>
      </c>
      <c r="I30" t="s">
        <v>54</v>
      </c>
      <c r="J30" t="s">
        <v>62</v>
      </c>
      <c r="K30" t="s">
        <v>119</v>
      </c>
      <c r="L30" t="s">
        <v>61</v>
      </c>
      <c r="M30" s="5">
        <v>20</v>
      </c>
      <c r="N30" t="s">
        <v>57</v>
      </c>
      <c r="O30" s="4" t="str">
        <f t="shared" si="5"/>
        <v>BXX</v>
      </c>
      <c r="P30" t="s">
        <v>14</v>
      </c>
      <c r="Q30" s="4" t="str">
        <f>A30&amp;".eng"</f>
        <v>BXX_UPS1_001_DA_GA.eng</v>
      </c>
      <c r="R30" t="s">
        <v>14</v>
      </c>
      <c r="S30" s="4" t="str">
        <f t="shared" si="16"/>
        <v>Station BXX Main UPS Fault</v>
      </c>
      <c r="T30">
        <v>0</v>
      </c>
      <c r="U30">
        <v>0</v>
      </c>
    </row>
    <row r="31" spans="1:21" x14ac:dyDescent="0.25">
      <c r="A31" s="4" t="str">
        <f>LEFT(A30,12)&amp;"_PB_"&amp;RIGHT(A30,2)&amp;"_RE"</f>
        <v>BXX_UPS1_001_PB_GA_RE</v>
      </c>
      <c r="B31" s="4" t="str">
        <f t="shared" si="1"/>
        <v>BXX</v>
      </c>
      <c r="C31" s="4" t="str">
        <f>C30 &amp;" Enable"</f>
        <v>Station BXX Main UPS Fault Enable</v>
      </c>
      <c r="D31" s="2">
        <f t="shared" si="15"/>
        <v>33</v>
      </c>
      <c r="E31" t="s">
        <v>14</v>
      </c>
      <c r="F31" t="s">
        <v>13</v>
      </c>
      <c r="G31">
        <v>600</v>
      </c>
      <c r="H31" t="s">
        <v>13</v>
      </c>
      <c r="I31" t="s">
        <v>54</v>
      </c>
      <c r="J31" t="s">
        <v>60</v>
      </c>
      <c r="K31" t="s">
        <v>59</v>
      </c>
      <c r="L31" t="s">
        <v>56</v>
      </c>
      <c r="M31" s="5">
        <v>1</v>
      </c>
      <c r="N31" t="s">
        <v>57</v>
      </c>
      <c r="O31" s="4" t="str">
        <f t="shared" si="5"/>
        <v>BXX</v>
      </c>
      <c r="P31" t="s">
        <v>14</v>
      </c>
      <c r="Q31" s="4" t="str">
        <f>A30&amp;".RE"</f>
        <v>BXX_UPS1_001_DA_GA.RE</v>
      </c>
      <c r="R31" t="s">
        <v>14</v>
      </c>
      <c r="S31" s="4" t="str">
        <f t="shared" si="16"/>
        <v>Station BXX Main UPS Fault Enable</v>
      </c>
      <c r="T31">
        <v>0</v>
      </c>
      <c r="U31">
        <v>0</v>
      </c>
    </row>
    <row r="32" spans="1:21" x14ac:dyDescent="0.25">
      <c r="A32" s="4" t="str">
        <f>LEFT(A30,12)&amp;"_PB_"&amp;RIGHT(A30,2)&amp;"_DE"</f>
        <v>BXX_UPS1_001_PB_GA_DE</v>
      </c>
      <c r="B32" s="4" t="str">
        <f t="shared" si="1"/>
        <v>BXX</v>
      </c>
      <c r="C32" s="4" t="str">
        <f>$C30&amp;" Dialer En"</f>
        <v>Station BXX Main UPS Fault Dialer En</v>
      </c>
      <c r="D32" s="2">
        <f t="shared" ref="D32:D35" si="17">LEN(C32)</f>
        <v>36</v>
      </c>
      <c r="E32" t="s">
        <v>14</v>
      </c>
      <c r="F32" t="s">
        <v>13</v>
      </c>
      <c r="G32">
        <v>600</v>
      </c>
      <c r="H32" t="s">
        <v>13</v>
      </c>
      <c r="I32" t="s">
        <v>54</v>
      </c>
      <c r="J32" t="s">
        <v>60</v>
      </c>
      <c r="K32" t="s">
        <v>59</v>
      </c>
      <c r="L32" t="s">
        <v>56</v>
      </c>
      <c r="M32" s="5">
        <v>1</v>
      </c>
      <c r="N32" t="s">
        <v>57</v>
      </c>
      <c r="O32" s="4" t="str">
        <f t="shared" si="5"/>
        <v>BXX</v>
      </c>
      <c r="P32" t="s">
        <v>14</v>
      </c>
      <c r="Q32" s="4" t="str">
        <f>A30&amp;".DE"</f>
        <v>BXX_UPS1_001_DA_GA.DE</v>
      </c>
      <c r="R32" t="s">
        <v>14</v>
      </c>
      <c r="S32" s="4" t="str">
        <f t="shared" ref="S32:S35" si="18">C32</f>
        <v>Station BXX Main UPS Fault Dialer En</v>
      </c>
      <c r="T32">
        <v>0</v>
      </c>
      <c r="U32">
        <v>0</v>
      </c>
    </row>
    <row r="33" spans="1:21" x14ac:dyDescent="0.25">
      <c r="A33" s="4" t="str">
        <f>LEFT(A30,12)&amp;"_PB_"&amp;RIGHT(A30,2)&amp;"_SR"</f>
        <v>BXX_UPS1_001_PB_GA_SR</v>
      </c>
      <c r="B33" s="4" t="str">
        <f t="shared" si="1"/>
        <v>BXX</v>
      </c>
      <c r="C33" s="4" t="str">
        <f>$C30&amp;" Super En"</f>
        <v>Station BXX Main UPS Fault Super En</v>
      </c>
      <c r="D33" s="2">
        <f t="shared" si="17"/>
        <v>35</v>
      </c>
      <c r="E33" t="s">
        <v>14</v>
      </c>
      <c r="F33" t="s">
        <v>13</v>
      </c>
      <c r="G33">
        <v>600</v>
      </c>
      <c r="H33" t="s">
        <v>13</v>
      </c>
      <c r="I33" t="s">
        <v>54</v>
      </c>
      <c r="J33" t="s">
        <v>60</v>
      </c>
      <c r="K33" t="s">
        <v>59</v>
      </c>
      <c r="L33" t="s">
        <v>56</v>
      </c>
      <c r="M33" s="5">
        <v>1</v>
      </c>
      <c r="N33" t="s">
        <v>57</v>
      </c>
      <c r="O33" s="4" t="str">
        <f t="shared" si="5"/>
        <v>BXX</v>
      </c>
      <c r="P33" t="s">
        <v>14</v>
      </c>
      <c r="Q33" s="4" t="str">
        <f>A30&amp;".SR"</f>
        <v>BXX_UPS1_001_DA_GA.SR</v>
      </c>
      <c r="R33" t="s">
        <v>14</v>
      </c>
      <c r="S33" s="4" t="str">
        <f t="shared" si="18"/>
        <v>Station BXX Main UPS Fault Super En</v>
      </c>
      <c r="T33">
        <v>0</v>
      </c>
      <c r="U33">
        <v>0</v>
      </c>
    </row>
    <row r="34" spans="1:21" x14ac:dyDescent="0.25">
      <c r="A34" s="4" t="str">
        <f>$A$3&amp;"_UPS1_BT1_DA_JL"</f>
        <v>BXX_UPS1_BT1_DA_JL</v>
      </c>
      <c r="B34" s="4" t="str">
        <f t="shared" si="1"/>
        <v>BXX</v>
      </c>
      <c r="C34" s="4" t="str">
        <f>$C$3&amp;" Main UPS Low Battery"</f>
        <v>Station BXX Main UPS Low Battery</v>
      </c>
      <c r="D34" s="2">
        <f t="shared" si="17"/>
        <v>32</v>
      </c>
      <c r="E34" t="s">
        <v>14</v>
      </c>
      <c r="F34" t="s">
        <v>14</v>
      </c>
      <c r="G34">
        <v>0</v>
      </c>
      <c r="H34" t="s">
        <v>13</v>
      </c>
      <c r="I34" t="s">
        <v>54</v>
      </c>
      <c r="J34" t="s">
        <v>62</v>
      </c>
      <c r="K34" t="s">
        <v>119</v>
      </c>
      <c r="L34" t="s">
        <v>61</v>
      </c>
      <c r="M34" s="5">
        <v>20</v>
      </c>
      <c r="N34" t="s">
        <v>57</v>
      </c>
      <c r="O34" s="4" t="str">
        <f t="shared" si="5"/>
        <v>BXX</v>
      </c>
      <c r="P34" t="s">
        <v>14</v>
      </c>
      <c r="Q34" s="4" t="str">
        <f>A34&amp;".eng"</f>
        <v>BXX_UPS1_BT1_DA_JL.eng</v>
      </c>
      <c r="R34" t="s">
        <v>14</v>
      </c>
      <c r="S34" s="4" t="str">
        <f t="shared" si="18"/>
        <v>Station BXX Main UPS Low Battery</v>
      </c>
      <c r="T34">
        <v>0</v>
      </c>
      <c r="U34">
        <v>0</v>
      </c>
    </row>
    <row r="35" spans="1:21" x14ac:dyDescent="0.25">
      <c r="A35" s="4" t="str">
        <f>LEFT(A34,12)&amp;"_PB_"&amp;RIGHT(A34,2)&amp;"_RE"</f>
        <v>BXX_UPS1_BT1_PB_JL_RE</v>
      </c>
      <c r="B35" s="4" t="str">
        <f t="shared" si="1"/>
        <v>BXX</v>
      </c>
      <c r="C35" s="4" t="str">
        <f>C34 &amp;" Enable"</f>
        <v>Station BXX Main UPS Low Battery Enable</v>
      </c>
      <c r="D35" s="2">
        <f t="shared" si="17"/>
        <v>39</v>
      </c>
      <c r="E35" t="s">
        <v>14</v>
      </c>
      <c r="F35" t="s">
        <v>13</v>
      </c>
      <c r="G35">
        <v>600</v>
      </c>
      <c r="H35" t="s">
        <v>13</v>
      </c>
      <c r="I35" t="s">
        <v>54</v>
      </c>
      <c r="J35" t="s">
        <v>60</v>
      </c>
      <c r="K35" t="s">
        <v>59</v>
      </c>
      <c r="L35" t="s">
        <v>56</v>
      </c>
      <c r="M35" s="5">
        <v>1</v>
      </c>
      <c r="N35" t="s">
        <v>57</v>
      </c>
      <c r="O35" s="4" t="str">
        <f t="shared" si="5"/>
        <v>BXX</v>
      </c>
      <c r="P35" t="s">
        <v>14</v>
      </c>
      <c r="Q35" s="4" t="str">
        <f>A34&amp;".RE"</f>
        <v>BXX_UPS1_BT1_DA_JL.RE</v>
      </c>
      <c r="R35" t="s">
        <v>14</v>
      </c>
      <c r="S35" s="4" t="str">
        <f t="shared" si="18"/>
        <v>Station BXX Main UPS Low Battery Enable</v>
      </c>
      <c r="T35">
        <v>0</v>
      </c>
      <c r="U35">
        <v>0</v>
      </c>
    </row>
    <row r="36" spans="1:21" x14ac:dyDescent="0.25">
      <c r="A36" s="4" t="str">
        <f>LEFT(A34,12)&amp;"_PB_"&amp;RIGHT(A34,2)&amp;"_DE"</f>
        <v>BXX_UPS1_BT1_PB_JL_DE</v>
      </c>
      <c r="B36" s="4" t="str">
        <f t="shared" si="1"/>
        <v>BXX</v>
      </c>
      <c r="C36" s="4" t="str">
        <f>$C34&amp;" Dialer En"</f>
        <v>Station BXX Main UPS Low Battery Dialer En</v>
      </c>
      <c r="D36" s="2">
        <f t="shared" ref="D36:D39" si="19">LEN(C36)</f>
        <v>42</v>
      </c>
      <c r="E36" t="s">
        <v>14</v>
      </c>
      <c r="F36" t="s">
        <v>13</v>
      </c>
      <c r="G36">
        <v>600</v>
      </c>
      <c r="H36" t="s">
        <v>13</v>
      </c>
      <c r="I36" t="s">
        <v>54</v>
      </c>
      <c r="J36" t="s">
        <v>60</v>
      </c>
      <c r="K36" t="s">
        <v>59</v>
      </c>
      <c r="L36" t="s">
        <v>56</v>
      </c>
      <c r="M36" s="5">
        <v>1</v>
      </c>
      <c r="N36" t="s">
        <v>57</v>
      </c>
      <c r="O36" s="4" t="str">
        <f t="shared" si="5"/>
        <v>BXX</v>
      </c>
      <c r="P36" t="s">
        <v>14</v>
      </c>
      <c r="Q36" s="4" t="str">
        <f>A34&amp;".DE"</f>
        <v>BXX_UPS1_BT1_DA_JL.DE</v>
      </c>
      <c r="R36" t="s">
        <v>14</v>
      </c>
      <c r="S36" s="4" t="str">
        <f t="shared" ref="S36:S39" si="20">C36</f>
        <v>Station BXX Main UPS Low Battery Dialer En</v>
      </c>
      <c r="T36">
        <v>0</v>
      </c>
      <c r="U36">
        <v>0</v>
      </c>
    </row>
    <row r="37" spans="1:21" x14ac:dyDescent="0.25">
      <c r="A37" s="4" t="str">
        <f>LEFT(A34,12)&amp;"_PB_"&amp;RIGHT(A34,2)&amp;"_SR"</f>
        <v>BXX_UPS1_BT1_PB_JL_SR</v>
      </c>
      <c r="B37" s="4" t="str">
        <f t="shared" si="1"/>
        <v>BXX</v>
      </c>
      <c r="C37" s="4" t="str">
        <f>$C34&amp;" Super En"</f>
        <v>Station BXX Main UPS Low Battery Super En</v>
      </c>
      <c r="D37" s="2">
        <f t="shared" si="19"/>
        <v>41</v>
      </c>
      <c r="E37" t="s">
        <v>14</v>
      </c>
      <c r="F37" t="s">
        <v>13</v>
      </c>
      <c r="G37">
        <v>600</v>
      </c>
      <c r="H37" t="s">
        <v>13</v>
      </c>
      <c r="I37" t="s">
        <v>54</v>
      </c>
      <c r="J37" t="s">
        <v>60</v>
      </c>
      <c r="K37" t="s">
        <v>59</v>
      </c>
      <c r="L37" t="s">
        <v>56</v>
      </c>
      <c r="M37" s="5">
        <v>1</v>
      </c>
      <c r="N37" t="s">
        <v>57</v>
      </c>
      <c r="O37" s="4" t="str">
        <f t="shared" si="5"/>
        <v>BXX</v>
      </c>
      <c r="P37" t="s">
        <v>14</v>
      </c>
      <c r="Q37" s="4" t="str">
        <f>A34&amp;".SR"</f>
        <v>BXX_UPS1_BT1_DA_JL.SR</v>
      </c>
      <c r="R37" t="s">
        <v>14</v>
      </c>
      <c r="S37" s="4" t="str">
        <f t="shared" si="20"/>
        <v>Station BXX Main UPS Low Battery Super En</v>
      </c>
      <c r="T37">
        <v>0</v>
      </c>
      <c r="U37">
        <v>0</v>
      </c>
    </row>
    <row r="38" spans="1:21" x14ac:dyDescent="0.25">
      <c r="A38" s="4" t="str">
        <f>$A$3&amp;"_PSB1_JI1_DA_GA"</f>
        <v>BXX_PSB1_JI1_DA_GA</v>
      </c>
      <c r="B38" s="4" t="str">
        <f t="shared" si="1"/>
        <v>BXX</v>
      </c>
      <c r="C38" s="4" t="str">
        <f>$C$3&amp;" Phase Failure"</f>
        <v>Station BXX Phase Failure</v>
      </c>
      <c r="D38" s="2">
        <f t="shared" si="19"/>
        <v>25</v>
      </c>
      <c r="E38" t="s">
        <v>14</v>
      </c>
      <c r="F38" t="s">
        <v>14</v>
      </c>
      <c r="G38">
        <v>0</v>
      </c>
      <c r="H38" t="s">
        <v>13</v>
      </c>
      <c r="I38" t="s">
        <v>54</v>
      </c>
      <c r="J38" t="s">
        <v>62</v>
      </c>
      <c r="K38" t="s">
        <v>119</v>
      </c>
      <c r="L38" t="s">
        <v>61</v>
      </c>
      <c r="M38" s="5">
        <v>48</v>
      </c>
      <c r="N38" t="s">
        <v>57</v>
      </c>
      <c r="O38" s="4" t="str">
        <f t="shared" si="5"/>
        <v>BXX</v>
      </c>
      <c r="P38" t="s">
        <v>14</v>
      </c>
      <c r="Q38" s="4" t="str">
        <f>A38&amp;".eng"</f>
        <v>BXX_PSB1_JI1_DA_GA.eng</v>
      </c>
      <c r="R38" t="s">
        <v>14</v>
      </c>
      <c r="S38" s="4" t="str">
        <f t="shared" si="20"/>
        <v>Station BXX Phase Failure</v>
      </c>
      <c r="T38">
        <v>0</v>
      </c>
      <c r="U38">
        <v>0</v>
      </c>
    </row>
    <row r="39" spans="1:21" x14ac:dyDescent="0.25">
      <c r="A39" s="4" t="str">
        <f>LEFT(A38,12)&amp;"_PB_"&amp;RIGHT(A38,2)&amp;"_RE"</f>
        <v>BXX_PSB1_JI1_PB_GA_RE</v>
      </c>
      <c r="B39" s="4" t="str">
        <f t="shared" si="1"/>
        <v>BXX</v>
      </c>
      <c r="C39" s="4" t="str">
        <f>C38 &amp;" Enable"</f>
        <v>Station BXX Phase Failure Enable</v>
      </c>
      <c r="D39" s="2">
        <f t="shared" si="19"/>
        <v>32</v>
      </c>
      <c r="E39" t="s">
        <v>14</v>
      </c>
      <c r="F39" t="s">
        <v>13</v>
      </c>
      <c r="G39">
        <v>600</v>
      </c>
      <c r="H39" t="s">
        <v>13</v>
      </c>
      <c r="I39" t="s">
        <v>54</v>
      </c>
      <c r="J39" t="s">
        <v>60</v>
      </c>
      <c r="K39" t="s">
        <v>59</v>
      </c>
      <c r="L39" t="s">
        <v>56</v>
      </c>
      <c r="M39" s="5">
        <v>1</v>
      </c>
      <c r="N39" t="s">
        <v>57</v>
      </c>
      <c r="O39" s="4" t="str">
        <f t="shared" ref="O39:O70" si="21">$O$6</f>
        <v>BXX</v>
      </c>
      <c r="P39" t="s">
        <v>14</v>
      </c>
      <c r="Q39" s="4" t="str">
        <f>A38&amp;".RE"</f>
        <v>BXX_PSB1_JI1_DA_GA.RE</v>
      </c>
      <c r="R39" t="s">
        <v>14</v>
      </c>
      <c r="S39" s="4" t="str">
        <f t="shared" si="20"/>
        <v>Station BXX Phase Failure Enable</v>
      </c>
      <c r="T39">
        <v>0</v>
      </c>
      <c r="U39">
        <v>0</v>
      </c>
    </row>
    <row r="40" spans="1:21" x14ac:dyDescent="0.25">
      <c r="A40" s="4" t="str">
        <f>LEFT(A38,12)&amp;"_PB_"&amp;RIGHT(A38,2)&amp;"_DE"</f>
        <v>BXX_PSB1_JI1_PB_GA_DE</v>
      </c>
      <c r="B40" s="4" t="str">
        <f t="shared" si="1"/>
        <v>BXX</v>
      </c>
      <c r="C40" s="4" t="str">
        <f>$C38&amp;" Dialer En"</f>
        <v>Station BXX Phase Failure Dialer En</v>
      </c>
      <c r="D40" s="2">
        <f t="shared" ref="D40:D43" si="22">LEN(C40)</f>
        <v>35</v>
      </c>
      <c r="E40" t="s">
        <v>14</v>
      </c>
      <c r="F40" t="s">
        <v>13</v>
      </c>
      <c r="G40">
        <v>600</v>
      </c>
      <c r="H40" t="s">
        <v>13</v>
      </c>
      <c r="I40" t="s">
        <v>54</v>
      </c>
      <c r="J40" t="s">
        <v>60</v>
      </c>
      <c r="K40" t="s">
        <v>59</v>
      </c>
      <c r="L40" t="s">
        <v>56</v>
      </c>
      <c r="M40" s="5">
        <v>1</v>
      </c>
      <c r="N40" t="s">
        <v>57</v>
      </c>
      <c r="O40" s="4" t="str">
        <f t="shared" si="21"/>
        <v>BXX</v>
      </c>
      <c r="P40" t="s">
        <v>14</v>
      </c>
      <c r="Q40" s="4" t="str">
        <f>A38&amp;".DE"</f>
        <v>BXX_PSB1_JI1_DA_GA.DE</v>
      </c>
      <c r="R40" t="s">
        <v>14</v>
      </c>
      <c r="S40" s="4" t="str">
        <f t="shared" ref="S40:S43" si="23">C40</f>
        <v>Station BXX Phase Failure Dialer En</v>
      </c>
      <c r="T40">
        <v>0</v>
      </c>
      <c r="U40">
        <v>0</v>
      </c>
    </row>
    <row r="41" spans="1:21" x14ac:dyDescent="0.25">
      <c r="A41" s="4" t="str">
        <f>LEFT(A38,12)&amp;"_PB_"&amp;RIGHT(A38,2)&amp;"_SR"</f>
        <v>BXX_PSB1_JI1_PB_GA_SR</v>
      </c>
      <c r="B41" s="4" t="str">
        <f t="shared" si="1"/>
        <v>BXX</v>
      </c>
      <c r="C41" s="4" t="str">
        <f>$C38&amp;" Super En"</f>
        <v>Station BXX Phase Failure Super En</v>
      </c>
      <c r="D41" s="2">
        <f t="shared" si="22"/>
        <v>34</v>
      </c>
      <c r="E41" t="s">
        <v>14</v>
      </c>
      <c r="F41" t="s">
        <v>13</v>
      </c>
      <c r="G41">
        <v>600</v>
      </c>
      <c r="H41" t="s">
        <v>13</v>
      </c>
      <c r="I41" t="s">
        <v>54</v>
      </c>
      <c r="J41" t="s">
        <v>60</v>
      </c>
      <c r="K41" t="s">
        <v>59</v>
      </c>
      <c r="L41" t="s">
        <v>56</v>
      </c>
      <c r="M41" s="5">
        <v>1</v>
      </c>
      <c r="N41" t="s">
        <v>57</v>
      </c>
      <c r="O41" s="4" t="str">
        <f t="shared" si="21"/>
        <v>BXX</v>
      </c>
      <c r="P41" t="s">
        <v>14</v>
      </c>
      <c r="Q41" s="4" t="str">
        <f>A38&amp;".SR"</f>
        <v>BXX_PSB1_JI1_DA_GA.SR</v>
      </c>
      <c r="R41" t="s">
        <v>14</v>
      </c>
      <c r="S41" s="4" t="str">
        <f t="shared" si="23"/>
        <v>Station BXX Phase Failure Super En</v>
      </c>
      <c r="T41">
        <v>0</v>
      </c>
      <c r="U41">
        <v>0</v>
      </c>
    </row>
    <row r="42" spans="1:21" x14ac:dyDescent="0.25">
      <c r="A42" s="4" t="str">
        <f>$A$3&amp;"_DDT1_LS1_DA_KA"</f>
        <v>BXX_DDT1_LS1_DA_KA</v>
      </c>
      <c r="B42" s="4" t="str">
        <f t="shared" si="1"/>
        <v>BXX</v>
      </c>
      <c r="C42" s="4" t="str">
        <f>$C$3&amp;" Diesel Flood"</f>
        <v>Station BXX Diesel Flood</v>
      </c>
      <c r="D42" s="2">
        <f t="shared" si="22"/>
        <v>24</v>
      </c>
      <c r="E42" t="s">
        <v>14</v>
      </c>
      <c r="F42" t="s">
        <v>14</v>
      </c>
      <c r="G42">
        <v>0</v>
      </c>
      <c r="H42" t="s">
        <v>13</v>
      </c>
      <c r="I42" t="s">
        <v>54</v>
      </c>
      <c r="J42" t="s">
        <v>62</v>
      </c>
      <c r="K42" t="s">
        <v>119</v>
      </c>
      <c r="L42" t="s">
        <v>61</v>
      </c>
      <c r="M42" s="5">
        <v>9</v>
      </c>
      <c r="N42" t="s">
        <v>57</v>
      </c>
      <c r="O42" s="4" t="str">
        <f t="shared" si="21"/>
        <v>BXX</v>
      </c>
      <c r="P42" t="s">
        <v>14</v>
      </c>
      <c r="Q42" s="4" t="str">
        <f>A42&amp;".eng"</f>
        <v>BXX_DDT1_LS1_DA_KA.eng</v>
      </c>
      <c r="R42" t="s">
        <v>14</v>
      </c>
      <c r="S42" s="4" t="str">
        <f t="shared" si="23"/>
        <v>Station BXX Diesel Flood</v>
      </c>
      <c r="T42">
        <v>0</v>
      </c>
      <c r="U42">
        <v>0</v>
      </c>
    </row>
    <row r="43" spans="1:21" x14ac:dyDescent="0.25">
      <c r="A43" s="4" t="str">
        <f>LEFT(A42,12)&amp;"_PB_"&amp;RIGHT(A42,2)&amp;"_RE"</f>
        <v>BXX_DDT1_LS1_PB_KA_RE</v>
      </c>
      <c r="B43" s="4" t="str">
        <f t="shared" si="1"/>
        <v>BXX</v>
      </c>
      <c r="C43" s="4" t="str">
        <f>C42 &amp;" Enable"</f>
        <v>Station BXX Diesel Flood Enable</v>
      </c>
      <c r="D43" s="2">
        <f t="shared" si="22"/>
        <v>31</v>
      </c>
      <c r="E43" t="s">
        <v>14</v>
      </c>
      <c r="F43" t="s">
        <v>13</v>
      </c>
      <c r="G43">
        <v>600</v>
      </c>
      <c r="H43" t="s">
        <v>13</v>
      </c>
      <c r="I43" t="s">
        <v>54</v>
      </c>
      <c r="J43" t="s">
        <v>60</v>
      </c>
      <c r="K43" t="s">
        <v>59</v>
      </c>
      <c r="L43" t="s">
        <v>56</v>
      </c>
      <c r="M43" s="5">
        <v>1</v>
      </c>
      <c r="N43" t="s">
        <v>57</v>
      </c>
      <c r="O43" s="4" t="str">
        <f t="shared" si="21"/>
        <v>BXX</v>
      </c>
      <c r="P43" t="s">
        <v>14</v>
      </c>
      <c r="Q43" s="4" t="str">
        <f>A42&amp;".RE"</f>
        <v>BXX_DDT1_LS1_DA_KA.RE</v>
      </c>
      <c r="R43" t="s">
        <v>14</v>
      </c>
      <c r="S43" s="4" t="str">
        <f t="shared" si="23"/>
        <v>Station BXX Diesel Flood Enable</v>
      </c>
      <c r="T43">
        <v>0</v>
      </c>
      <c r="U43">
        <v>0</v>
      </c>
    </row>
    <row r="44" spans="1:21" x14ac:dyDescent="0.25">
      <c r="A44" s="4" t="str">
        <f>LEFT(A42,12)&amp;"_PB_"&amp;RIGHT(A42,2)&amp;"_DE"</f>
        <v>BXX_DDT1_LS1_PB_KA_DE</v>
      </c>
      <c r="B44" s="4" t="str">
        <f t="shared" si="1"/>
        <v>BXX</v>
      </c>
      <c r="C44" s="4" t="str">
        <f>$C42&amp;" Dialer En"</f>
        <v>Station BXX Diesel Flood Dialer En</v>
      </c>
      <c r="D44" s="2">
        <f t="shared" ref="D44:D51" si="24">LEN(C44)</f>
        <v>34</v>
      </c>
      <c r="E44" t="s">
        <v>14</v>
      </c>
      <c r="F44" t="s">
        <v>13</v>
      </c>
      <c r="G44">
        <v>600</v>
      </c>
      <c r="H44" t="s">
        <v>13</v>
      </c>
      <c r="I44" t="s">
        <v>54</v>
      </c>
      <c r="J44" t="s">
        <v>60</v>
      </c>
      <c r="K44" t="s">
        <v>59</v>
      </c>
      <c r="L44" t="s">
        <v>56</v>
      </c>
      <c r="M44" s="5">
        <v>1</v>
      </c>
      <c r="N44" t="s">
        <v>57</v>
      </c>
      <c r="O44" s="4" t="str">
        <f t="shared" si="21"/>
        <v>BXX</v>
      </c>
      <c r="P44" t="s">
        <v>14</v>
      </c>
      <c r="Q44" s="4" t="str">
        <f>A42&amp;".DE"</f>
        <v>BXX_DDT1_LS1_DA_KA.DE</v>
      </c>
      <c r="R44" t="s">
        <v>14</v>
      </c>
      <c r="S44" s="4" t="str">
        <f t="shared" ref="S44:S51" si="25">C44</f>
        <v>Station BXX Diesel Flood Dialer En</v>
      </c>
      <c r="T44">
        <v>0</v>
      </c>
      <c r="U44">
        <v>0</v>
      </c>
    </row>
    <row r="45" spans="1:21" x14ac:dyDescent="0.25">
      <c r="A45" s="4" t="str">
        <f>LEFT(A42,12)&amp;"_PB_"&amp;RIGHT(A42,2)&amp;"_SR"</f>
        <v>BXX_DDT1_LS1_PB_KA_SR</v>
      </c>
      <c r="B45" s="4" t="str">
        <f t="shared" si="1"/>
        <v>BXX</v>
      </c>
      <c r="C45" s="4" t="str">
        <f>$C42&amp;" Super En"</f>
        <v>Station BXX Diesel Flood Super En</v>
      </c>
      <c r="D45" s="2">
        <f t="shared" si="24"/>
        <v>33</v>
      </c>
      <c r="E45" t="s">
        <v>14</v>
      </c>
      <c r="F45" t="s">
        <v>13</v>
      </c>
      <c r="G45">
        <v>600</v>
      </c>
      <c r="H45" t="s">
        <v>13</v>
      </c>
      <c r="I45" t="s">
        <v>54</v>
      </c>
      <c r="J45" t="s">
        <v>60</v>
      </c>
      <c r="K45" t="s">
        <v>59</v>
      </c>
      <c r="L45" t="s">
        <v>56</v>
      </c>
      <c r="M45" s="5">
        <v>1</v>
      </c>
      <c r="N45" t="s">
        <v>57</v>
      </c>
      <c r="O45" s="4" t="str">
        <f t="shared" si="21"/>
        <v>BXX</v>
      </c>
      <c r="P45" t="s">
        <v>14</v>
      </c>
      <c r="Q45" s="4" t="str">
        <f>A42&amp;".SR"</f>
        <v>BXX_DDT1_LS1_DA_KA.SR</v>
      </c>
      <c r="R45" t="s">
        <v>14</v>
      </c>
      <c r="S45" s="4" t="str">
        <f t="shared" si="25"/>
        <v>Station BXX Diesel Flood Super En</v>
      </c>
      <c r="T45">
        <v>0</v>
      </c>
      <c r="U45">
        <v>0</v>
      </c>
    </row>
    <row r="46" spans="1:21" x14ac:dyDescent="0.25">
      <c r="A46" s="4" t="str">
        <f>$A$3&amp;"_DDV1_LS1_DA_KA"</f>
        <v>BXX_DDV1_LS1_DA_KA</v>
      </c>
      <c r="B46" s="4" t="str">
        <f t="shared" si="1"/>
        <v>BXX</v>
      </c>
      <c r="C46" s="4" t="str">
        <f>$C$3&amp;" Diesel Tank Loss Vac Alarm"</f>
        <v>Station BXX Diesel Tank Loss Vac Alarm</v>
      </c>
      <c r="D46" s="2">
        <f t="shared" si="24"/>
        <v>38</v>
      </c>
      <c r="E46" t="s">
        <v>14</v>
      </c>
      <c r="F46" t="s">
        <v>14</v>
      </c>
      <c r="G46">
        <v>0</v>
      </c>
      <c r="H46" t="s">
        <v>13</v>
      </c>
      <c r="I46" t="s">
        <v>54</v>
      </c>
      <c r="J46" t="s">
        <v>62</v>
      </c>
      <c r="K46" t="s">
        <v>119</v>
      </c>
      <c r="L46" t="s">
        <v>61</v>
      </c>
      <c r="M46" s="5">
        <v>9</v>
      </c>
      <c r="N46" t="s">
        <v>57</v>
      </c>
      <c r="O46" s="4" t="str">
        <f t="shared" si="21"/>
        <v>BXX</v>
      </c>
      <c r="P46" t="s">
        <v>14</v>
      </c>
      <c r="Q46" s="4" t="str">
        <f>A46&amp;".eng"</f>
        <v>BXX_DDV1_LS1_DA_KA.eng</v>
      </c>
      <c r="R46" t="s">
        <v>14</v>
      </c>
      <c r="S46" s="4" t="str">
        <f t="shared" si="25"/>
        <v>Station BXX Diesel Tank Loss Vac Alarm</v>
      </c>
      <c r="T46">
        <v>0</v>
      </c>
      <c r="U46">
        <v>0</v>
      </c>
    </row>
    <row r="47" spans="1:21" x14ac:dyDescent="0.25">
      <c r="A47" s="4" t="str">
        <f>LEFT(A46,12)&amp;"_PB_"&amp;RIGHT(A46,2)&amp;"_RE"</f>
        <v>BXX_DDV1_LS1_PB_KA_RE</v>
      </c>
      <c r="B47" s="4" t="str">
        <f t="shared" si="1"/>
        <v>BXX</v>
      </c>
      <c r="C47" s="4" t="str">
        <f>C46 &amp;" Enable"</f>
        <v>Station BXX Diesel Tank Loss Vac Alarm Enable</v>
      </c>
      <c r="D47" s="2">
        <f t="shared" si="24"/>
        <v>45</v>
      </c>
      <c r="E47" t="s">
        <v>14</v>
      </c>
      <c r="F47" t="s">
        <v>13</v>
      </c>
      <c r="G47">
        <v>600</v>
      </c>
      <c r="H47" t="s">
        <v>13</v>
      </c>
      <c r="I47" t="s">
        <v>54</v>
      </c>
      <c r="J47" t="s">
        <v>60</v>
      </c>
      <c r="K47" t="s">
        <v>59</v>
      </c>
      <c r="L47" t="s">
        <v>56</v>
      </c>
      <c r="M47" s="5">
        <v>1</v>
      </c>
      <c r="N47" t="s">
        <v>57</v>
      </c>
      <c r="O47" s="4" t="str">
        <f t="shared" si="21"/>
        <v>BXX</v>
      </c>
      <c r="P47" t="s">
        <v>14</v>
      </c>
      <c r="Q47" s="4" t="str">
        <f>A46&amp;".RE"</f>
        <v>BXX_DDV1_LS1_DA_KA.RE</v>
      </c>
      <c r="R47" t="s">
        <v>14</v>
      </c>
      <c r="S47" s="4" t="str">
        <f t="shared" si="25"/>
        <v>Station BXX Diesel Tank Loss Vac Alarm Enable</v>
      </c>
      <c r="T47">
        <v>0</v>
      </c>
      <c r="U47">
        <v>0</v>
      </c>
    </row>
    <row r="48" spans="1:21" x14ac:dyDescent="0.25">
      <c r="A48" s="4" t="str">
        <f>LEFT(A46,12)&amp;"_PB_"&amp;RIGHT(A46,2)&amp;"_DE"</f>
        <v>BXX_DDV1_LS1_PB_KA_DE</v>
      </c>
      <c r="B48" s="4" t="str">
        <f t="shared" si="1"/>
        <v>BXX</v>
      </c>
      <c r="C48" s="4" t="str">
        <f>$C46&amp;" Dialer En"</f>
        <v>Station BXX Diesel Tank Loss Vac Alarm Dialer En</v>
      </c>
      <c r="D48" s="2">
        <f t="shared" ref="D48:D49" si="26">LEN(C48)</f>
        <v>48</v>
      </c>
      <c r="E48" t="s">
        <v>14</v>
      </c>
      <c r="F48" t="s">
        <v>13</v>
      </c>
      <c r="G48">
        <v>600</v>
      </c>
      <c r="H48" t="s">
        <v>13</v>
      </c>
      <c r="I48" t="s">
        <v>54</v>
      </c>
      <c r="J48" t="s">
        <v>60</v>
      </c>
      <c r="K48" t="s">
        <v>59</v>
      </c>
      <c r="L48" t="s">
        <v>56</v>
      </c>
      <c r="M48" s="5">
        <v>1</v>
      </c>
      <c r="N48" t="s">
        <v>57</v>
      </c>
      <c r="O48" s="4" t="str">
        <f t="shared" si="21"/>
        <v>BXX</v>
      </c>
      <c r="P48" t="s">
        <v>14</v>
      </c>
      <c r="Q48" s="4" t="str">
        <f>A46&amp;".DE"</f>
        <v>BXX_DDV1_LS1_DA_KA.DE</v>
      </c>
      <c r="R48" t="s">
        <v>14</v>
      </c>
      <c r="S48" s="4" t="str">
        <f t="shared" ref="S48:S49" si="27">C48</f>
        <v>Station BXX Diesel Tank Loss Vac Alarm Dialer En</v>
      </c>
      <c r="T48">
        <v>0</v>
      </c>
      <c r="U48">
        <v>0</v>
      </c>
    </row>
    <row r="49" spans="1:21" x14ac:dyDescent="0.25">
      <c r="A49" s="4" t="str">
        <f>LEFT(A46,12)&amp;"_PB_"&amp;RIGHT(A46,2)&amp;"_SR"</f>
        <v>BXX_DDV1_LS1_PB_KA_SR</v>
      </c>
      <c r="B49" s="4" t="str">
        <f t="shared" si="1"/>
        <v>BXX</v>
      </c>
      <c r="C49" s="4" t="str">
        <f>$C46&amp;" Super En"</f>
        <v>Station BXX Diesel Tank Loss Vac Alarm Super En</v>
      </c>
      <c r="D49" s="2">
        <f t="shared" si="26"/>
        <v>47</v>
      </c>
      <c r="E49" t="s">
        <v>14</v>
      </c>
      <c r="F49" t="s">
        <v>13</v>
      </c>
      <c r="G49">
        <v>600</v>
      </c>
      <c r="H49" t="s">
        <v>13</v>
      </c>
      <c r="I49" t="s">
        <v>54</v>
      </c>
      <c r="J49" t="s">
        <v>60</v>
      </c>
      <c r="K49" t="s">
        <v>59</v>
      </c>
      <c r="L49" t="s">
        <v>56</v>
      </c>
      <c r="M49" s="5">
        <v>1</v>
      </c>
      <c r="N49" t="s">
        <v>57</v>
      </c>
      <c r="O49" s="4" t="str">
        <f t="shared" si="21"/>
        <v>BXX</v>
      </c>
      <c r="P49" t="s">
        <v>14</v>
      </c>
      <c r="Q49" s="4" t="str">
        <f>A46&amp;".SR"</f>
        <v>BXX_DDV1_LS1_DA_KA.SR</v>
      </c>
      <c r="R49" t="s">
        <v>14</v>
      </c>
      <c r="S49" s="4" t="str">
        <f t="shared" si="27"/>
        <v>Station BXX Diesel Tank Loss Vac Alarm Super En</v>
      </c>
      <c r="T49">
        <v>0</v>
      </c>
      <c r="U49">
        <v>0</v>
      </c>
    </row>
    <row r="50" spans="1:21" x14ac:dyDescent="0.25">
      <c r="A50" s="4" t="str">
        <f>$A$3&amp;"_PSB1_JI1_DA_NF"</f>
        <v>BXX_PSB1_JI1_DA_NF</v>
      </c>
      <c r="B50" s="4" t="str">
        <f t="shared" si="1"/>
        <v>BXX</v>
      </c>
      <c r="C50" s="4" t="str">
        <f>$C$3&amp;" Ground Fault"</f>
        <v>Station BXX Ground Fault</v>
      </c>
      <c r="D50" s="2">
        <f t="shared" si="24"/>
        <v>24</v>
      </c>
      <c r="E50" t="s">
        <v>14</v>
      </c>
      <c r="F50" t="s">
        <v>14</v>
      </c>
      <c r="G50">
        <v>0</v>
      </c>
      <c r="H50" t="s">
        <v>13</v>
      </c>
      <c r="I50" t="s">
        <v>54</v>
      </c>
      <c r="J50" t="s">
        <v>62</v>
      </c>
      <c r="K50" t="s">
        <v>119</v>
      </c>
      <c r="L50" t="s">
        <v>61</v>
      </c>
      <c r="M50" s="5">
        <v>48</v>
      </c>
      <c r="N50" t="s">
        <v>57</v>
      </c>
      <c r="O50" s="4" t="str">
        <f t="shared" si="21"/>
        <v>BXX</v>
      </c>
      <c r="P50" t="s">
        <v>14</v>
      </c>
      <c r="Q50" s="4" t="str">
        <f>A50&amp;".eng"</f>
        <v>BXX_PSB1_JI1_DA_NF.eng</v>
      </c>
      <c r="R50" t="s">
        <v>14</v>
      </c>
      <c r="S50" s="4" t="str">
        <f t="shared" si="25"/>
        <v>Station BXX Ground Fault</v>
      </c>
      <c r="T50">
        <v>0</v>
      </c>
      <c r="U50">
        <v>0</v>
      </c>
    </row>
    <row r="51" spans="1:21" x14ac:dyDescent="0.25">
      <c r="A51" s="4" t="str">
        <f>LEFT(A50,12)&amp;"_PB_"&amp;RIGHT(A50,2)&amp;"_RE"</f>
        <v>BXX_PSB1_JI1_PB_NF_RE</v>
      </c>
      <c r="B51" s="4" t="str">
        <f t="shared" si="1"/>
        <v>BXX</v>
      </c>
      <c r="C51" s="4" t="str">
        <f>C50 &amp;" Enable"</f>
        <v>Station BXX Ground Fault Enable</v>
      </c>
      <c r="D51" s="2">
        <f t="shared" si="24"/>
        <v>31</v>
      </c>
      <c r="E51" t="s">
        <v>14</v>
      </c>
      <c r="F51" t="s">
        <v>13</v>
      </c>
      <c r="G51">
        <v>600</v>
      </c>
      <c r="H51" t="s">
        <v>13</v>
      </c>
      <c r="I51" t="s">
        <v>54</v>
      </c>
      <c r="J51" t="s">
        <v>60</v>
      </c>
      <c r="K51" t="s">
        <v>59</v>
      </c>
      <c r="L51" t="s">
        <v>56</v>
      </c>
      <c r="M51" s="5">
        <v>1</v>
      </c>
      <c r="N51" t="s">
        <v>57</v>
      </c>
      <c r="O51" s="4" t="str">
        <f t="shared" si="21"/>
        <v>BXX</v>
      </c>
      <c r="P51" t="s">
        <v>14</v>
      </c>
      <c r="Q51" s="4" t="str">
        <f>A50&amp;".RE"</f>
        <v>BXX_PSB1_JI1_DA_NF.RE</v>
      </c>
      <c r="R51" t="s">
        <v>14</v>
      </c>
      <c r="S51" s="4" t="str">
        <f t="shared" si="25"/>
        <v>Station BXX Ground Fault Enable</v>
      </c>
      <c r="T51">
        <v>0</v>
      </c>
      <c r="U51">
        <v>0</v>
      </c>
    </row>
    <row r="52" spans="1:21" x14ac:dyDescent="0.25">
      <c r="A52" s="4" t="str">
        <f>LEFT(A50,12)&amp;"_PB_"&amp;RIGHT(A50,2)&amp;"_DE"</f>
        <v>BXX_PSB1_JI1_PB_NF_DE</v>
      </c>
      <c r="B52" s="4" t="str">
        <f t="shared" si="1"/>
        <v>BXX</v>
      </c>
      <c r="C52" s="4" t="str">
        <f>$C50&amp;" Dialer En"</f>
        <v>Station BXX Ground Fault Dialer En</v>
      </c>
      <c r="D52" s="2">
        <f t="shared" ref="D52:D55" si="28">LEN(C52)</f>
        <v>34</v>
      </c>
      <c r="E52" t="s">
        <v>14</v>
      </c>
      <c r="F52" t="s">
        <v>13</v>
      </c>
      <c r="G52">
        <v>600</v>
      </c>
      <c r="H52" t="s">
        <v>13</v>
      </c>
      <c r="I52" t="s">
        <v>54</v>
      </c>
      <c r="J52" t="s">
        <v>60</v>
      </c>
      <c r="K52" t="s">
        <v>59</v>
      </c>
      <c r="L52" t="s">
        <v>56</v>
      </c>
      <c r="M52" s="5">
        <v>1</v>
      </c>
      <c r="N52" t="s">
        <v>57</v>
      </c>
      <c r="O52" s="4" t="str">
        <f t="shared" si="21"/>
        <v>BXX</v>
      </c>
      <c r="P52" t="s">
        <v>14</v>
      </c>
      <c r="Q52" s="4" t="str">
        <f>A50&amp;".DE"</f>
        <v>BXX_PSB1_JI1_DA_NF.DE</v>
      </c>
      <c r="R52" t="s">
        <v>14</v>
      </c>
      <c r="S52" s="4" t="str">
        <f t="shared" ref="S52:S55" si="29">C52</f>
        <v>Station BXX Ground Fault Dialer En</v>
      </c>
      <c r="T52">
        <v>0</v>
      </c>
      <c r="U52">
        <v>0</v>
      </c>
    </row>
    <row r="53" spans="1:21" x14ac:dyDescent="0.25">
      <c r="A53" s="4" t="str">
        <f>LEFT(A50,12)&amp;"_PB_"&amp;RIGHT(A50,2)&amp;"_SR"</f>
        <v>BXX_PSB1_JI1_PB_NF_SR</v>
      </c>
      <c r="B53" s="4" t="str">
        <f t="shared" si="1"/>
        <v>BXX</v>
      </c>
      <c r="C53" s="4" t="str">
        <f>$C50&amp;" Super En"</f>
        <v>Station BXX Ground Fault Super En</v>
      </c>
      <c r="D53" s="2">
        <f t="shared" si="28"/>
        <v>33</v>
      </c>
      <c r="E53" t="s">
        <v>14</v>
      </c>
      <c r="F53" t="s">
        <v>13</v>
      </c>
      <c r="G53">
        <v>600</v>
      </c>
      <c r="H53" t="s">
        <v>13</v>
      </c>
      <c r="I53" t="s">
        <v>54</v>
      </c>
      <c r="J53" t="s">
        <v>60</v>
      </c>
      <c r="K53" t="s">
        <v>59</v>
      </c>
      <c r="L53" t="s">
        <v>56</v>
      </c>
      <c r="M53" s="5">
        <v>1</v>
      </c>
      <c r="N53" t="s">
        <v>57</v>
      </c>
      <c r="O53" s="4" t="str">
        <f t="shared" si="21"/>
        <v>BXX</v>
      </c>
      <c r="P53" t="s">
        <v>14</v>
      </c>
      <c r="Q53" s="4" t="str">
        <f>A50&amp;".SR"</f>
        <v>BXX_PSB1_JI1_DA_NF.SR</v>
      </c>
      <c r="R53" t="s">
        <v>14</v>
      </c>
      <c r="S53" s="4" t="str">
        <f t="shared" si="29"/>
        <v>Station BXX Ground Fault Super En</v>
      </c>
      <c r="T53">
        <v>0</v>
      </c>
      <c r="U53">
        <v>0</v>
      </c>
    </row>
    <row r="54" spans="1:21" x14ac:dyDescent="0.25">
      <c r="A54" s="4" t="str">
        <f>$A$3&amp;"_GEN1_VV1_DA_SF"</f>
        <v>BXX_GEN1_VV1_DA_SF</v>
      </c>
      <c r="B54" s="4" t="str">
        <f t="shared" si="1"/>
        <v>BXX</v>
      </c>
      <c r="C54" s="4" t="str">
        <f>$C$3&amp;" Louver Failed to Open"</f>
        <v>Station BXX Louver Failed to Open</v>
      </c>
      <c r="D54" s="2">
        <f t="shared" si="28"/>
        <v>33</v>
      </c>
      <c r="E54" t="s">
        <v>14</v>
      </c>
      <c r="F54" t="s">
        <v>14</v>
      </c>
      <c r="G54">
        <v>0</v>
      </c>
      <c r="H54" t="s">
        <v>13</v>
      </c>
      <c r="I54" t="s">
        <v>54</v>
      </c>
      <c r="J54" t="s">
        <v>62</v>
      </c>
      <c r="K54" t="s">
        <v>119</v>
      </c>
      <c r="L54" t="s">
        <v>61</v>
      </c>
      <c r="M54" s="5">
        <v>51</v>
      </c>
      <c r="N54" t="s">
        <v>57</v>
      </c>
      <c r="O54" s="4" t="str">
        <f t="shared" si="21"/>
        <v>BXX</v>
      </c>
      <c r="P54" t="s">
        <v>14</v>
      </c>
      <c r="Q54" s="4" t="str">
        <f>A54&amp;".eng"</f>
        <v>BXX_GEN1_VV1_DA_SF.eng</v>
      </c>
      <c r="R54" t="s">
        <v>14</v>
      </c>
      <c r="S54" s="4" t="str">
        <f t="shared" si="29"/>
        <v>Station BXX Louver Failed to Open</v>
      </c>
      <c r="T54">
        <v>0</v>
      </c>
      <c r="U54">
        <v>0</v>
      </c>
    </row>
    <row r="55" spans="1:21" x14ac:dyDescent="0.25">
      <c r="A55" s="4" t="str">
        <f>LEFT(A54,12)&amp;"_PB_"&amp;RIGHT(A54,2)&amp;"_RE"</f>
        <v>BXX_GEN1_VV1_PB_SF_RE</v>
      </c>
      <c r="B55" s="4" t="str">
        <f t="shared" si="1"/>
        <v>BXX</v>
      </c>
      <c r="C55" s="4" t="str">
        <f>C54 &amp;" Enable"</f>
        <v>Station BXX Louver Failed to Open Enable</v>
      </c>
      <c r="D55" s="2">
        <f t="shared" si="28"/>
        <v>40</v>
      </c>
      <c r="E55" t="s">
        <v>14</v>
      </c>
      <c r="F55" t="s">
        <v>13</v>
      </c>
      <c r="G55">
        <v>600</v>
      </c>
      <c r="H55" t="s">
        <v>13</v>
      </c>
      <c r="I55" t="s">
        <v>54</v>
      </c>
      <c r="J55" t="s">
        <v>60</v>
      </c>
      <c r="K55" t="s">
        <v>59</v>
      </c>
      <c r="L55" t="s">
        <v>56</v>
      </c>
      <c r="M55" s="5">
        <v>1</v>
      </c>
      <c r="N55" t="s">
        <v>57</v>
      </c>
      <c r="O55" s="4" t="str">
        <f t="shared" si="21"/>
        <v>BXX</v>
      </c>
      <c r="P55" t="s">
        <v>14</v>
      </c>
      <c r="Q55" s="4" t="str">
        <f>A54&amp;".RE"</f>
        <v>BXX_GEN1_VV1_DA_SF.RE</v>
      </c>
      <c r="R55" t="s">
        <v>14</v>
      </c>
      <c r="S55" s="4" t="str">
        <f t="shared" si="29"/>
        <v>Station BXX Louver Failed to Open Enable</v>
      </c>
      <c r="T55">
        <v>0</v>
      </c>
      <c r="U55">
        <v>0</v>
      </c>
    </row>
    <row r="56" spans="1:21" x14ac:dyDescent="0.25">
      <c r="A56" s="4" t="str">
        <f>LEFT(A54,12)&amp;"_PB_"&amp;RIGHT(A54,2)&amp;"_DE"</f>
        <v>BXX_GEN1_VV1_PB_SF_DE</v>
      </c>
      <c r="B56" s="4" t="str">
        <f t="shared" si="1"/>
        <v>BXX</v>
      </c>
      <c r="C56" s="4" t="str">
        <f>$C54&amp;" Dialer En"</f>
        <v>Station BXX Louver Failed to Open Dialer En</v>
      </c>
      <c r="D56" s="2">
        <f t="shared" ref="D56:D59" si="30">LEN(C56)</f>
        <v>43</v>
      </c>
      <c r="E56" t="s">
        <v>14</v>
      </c>
      <c r="F56" t="s">
        <v>13</v>
      </c>
      <c r="G56">
        <v>600</v>
      </c>
      <c r="H56" t="s">
        <v>13</v>
      </c>
      <c r="I56" t="s">
        <v>54</v>
      </c>
      <c r="J56" t="s">
        <v>60</v>
      </c>
      <c r="K56" t="s">
        <v>59</v>
      </c>
      <c r="L56" t="s">
        <v>56</v>
      </c>
      <c r="M56" s="5">
        <v>1</v>
      </c>
      <c r="N56" t="s">
        <v>57</v>
      </c>
      <c r="O56" s="4" t="str">
        <f t="shared" si="21"/>
        <v>BXX</v>
      </c>
      <c r="P56" t="s">
        <v>14</v>
      </c>
      <c r="Q56" s="4" t="str">
        <f>A54&amp;".DE"</f>
        <v>BXX_GEN1_VV1_DA_SF.DE</v>
      </c>
      <c r="R56" t="s">
        <v>14</v>
      </c>
      <c r="S56" s="4" t="str">
        <f t="shared" ref="S56:S59" si="31">C56</f>
        <v>Station BXX Louver Failed to Open Dialer En</v>
      </c>
      <c r="T56">
        <v>0</v>
      </c>
      <c r="U56">
        <v>0</v>
      </c>
    </row>
    <row r="57" spans="1:21" x14ac:dyDescent="0.25">
      <c r="A57" s="4" t="str">
        <f>LEFT(A54,12)&amp;"_PB_"&amp;RIGHT(A54,2)&amp;"_SR"</f>
        <v>BXX_GEN1_VV1_PB_SF_SR</v>
      </c>
      <c r="B57" s="4" t="str">
        <f t="shared" si="1"/>
        <v>BXX</v>
      </c>
      <c r="C57" s="4" t="str">
        <f>$C54&amp;" Super En"</f>
        <v>Station BXX Louver Failed to Open Super En</v>
      </c>
      <c r="D57" s="2">
        <f t="shared" si="30"/>
        <v>42</v>
      </c>
      <c r="E57" t="s">
        <v>14</v>
      </c>
      <c r="F57" t="s">
        <v>13</v>
      </c>
      <c r="G57">
        <v>600</v>
      </c>
      <c r="H57" t="s">
        <v>13</v>
      </c>
      <c r="I57" t="s">
        <v>54</v>
      </c>
      <c r="J57" t="s">
        <v>60</v>
      </c>
      <c r="K57" t="s">
        <v>59</v>
      </c>
      <c r="L57" t="s">
        <v>56</v>
      </c>
      <c r="M57" s="5">
        <v>1</v>
      </c>
      <c r="N57" t="s">
        <v>57</v>
      </c>
      <c r="O57" s="4" t="str">
        <f t="shared" si="21"/>
        <v>BXX</v>
      </c>
      <c r="P57" t="s">
        <v>14</v>
      </c>
      <c r="Q57" s="4" t="str">
        <f>A54&amp;".SR"</f>
        <v>BXX_GEN1_VV1_DA_SF.SR</v>
      </c>
      <c r="R57" t="s">
        <v>14</v>
      </c>
      <c r="S57" s="4" t="str">
        <f t="shared" si="31"/>
        <v>Station BXX Louver Failed to Open Super En</v>
      </c>
      <c r="T57">
        <v>0</v>
      </c>
      <c r="U57">
        <v>0</v>
      </c>
    </row>
    <row r="58" spans="1:21" x14ac:dyDescent="0.25">
      <c r="A58" s="4" t="str">
        <f>$A$3&amp;"_PSB1_TI1_DA_TL"</f>
        <v>BXX_PSB1_TI1_DA_TL</v>
      </c>
      <c r="B58" s="4" t="str">
        <f t="shared" si="1"/>
        <v>BXX</v>
      </c>
      <c r="C58" s="4" t="str">
        <f>$C$3&amp;" Low Temperature"</f>
        <v>Station BXX Low Temperature</v>
      </c>
      <c r="D58" s="2">
        <f t="shared" si="30"/>
        <v>27</v>
      </c>
      <c r="E58" t="s">
        <v>14</v>
      </c>
      <c r="F58" t="s">
        <v>14</v>
      </c>
      <c r="G58">
        <v>0</v>
      </c>
      <c r="H58" t="s">
        <v>13</v>
      </c>
      <c r="I58" t="s">
        <v>54</v>
      </c>
      <c r="J58" t="s">
        <v>62</v>
      </c>
      <c r="K58" t="s">
        <v>119</v>
      </c>
      <c r="L58" t="s">
        <v>61</v>
      </c>
      <c r="M58" s="5">
        <v>57</v>
      </c>
      <c r="N58" t="s">
        <v>57</v>
      </c>
      <c r="O58" s="4" t="str">
        <f t="shared" si="21"/>
        <v>BXX</v>
      </c>
      <c r="P58" t="s">
        <v>14</v>
      </c>
      <c r="Q58" s="4" t="str">
        <f>A58&amp;".eng"</f>
        <v>BXX_PSB1_TI1_DA_TL.eng</v>
      </c>
      <c r="R58" t="s">
        <v>14</v>
      </c>
      <c r="S58" s="4" t="str">
        <f t="shared" si="31"/>
        <v>Station BXX Low Temperature</v>
      </c>
      <c r="T58">
        <v>0</v>
      </c>
      <c r="U58">
        <v>0</v>
      </c>
    </row>
    <row r="59" spans="1:21" x14ac:dyDescent="0.25">
      <c r="A59" s="4" t="str">
        <f>LEFT(A58,12)&amp;"_PB_"&amp;RIGHT(A58,2)&amp;"_RE"</f>
        <v>BXX_PSB1_TI1_PB_TL_RE</v>
      </c>
      <c r="B59" s="4" t="str">
        <f t="shared" si="1"/>
        <v>BXX</v>
      </c>
      <c r="C59" s="4" t="str">
        <f>C58 &amp;" Enable"</f>
        <v>Station BXX Low Temperature Enable</v>
      </c>
      <c r="D59" s="2">
        <f t="shared" si="30"/>
        <v>34</v>
      </c>
      <c r="E59" t="s">
        <v>14</v>
      </c>
      <c r="F59" t="s">
        <v>13</v>
      </c>
      <c r="G59">
        <v>600</v>
      </c>
      <c r="H59" t="s">
        <v>13</v>
      </c>
      <c r="I59" t="s">
        <v>54</v>
      </c>
      <c r="J59" t="s">
        <v>60</v>
      </c>
      <c r="K59" t="s">
        <v>59</v>
      </c>
      <c r="L59" t="s">
        <v>56</v>
      </c>
      <c r="M59" s="5">
        <v>1</v>
      </c>
      <c r="N59" t="s">
        <v>57</v>
      </c>
      <c r="O59" s="4" t="str">
        <f t="shared" si="21"/>
        <v>BXX</v>
      </c>
      <c r="P59" t="s">
        <v>14</v>
      </c>
      <c r="Q59" s="4" t="str">
        <f>A58&amp;".RE"</f>
        <v>BXX_PSB1_TI1_DA_TL.RE</v>
      </c>
      <c r="R59" t="s">
        <v>14</v>
      </c>
      <c r="S59" s="4" t="str">
        <f t="shared" si="31"/>
        <v>Station BXX Low Temperature Enable</v>
      </c>
      <c r="T59">
        <v>0</v>
      </c>
      <c r="U59">
        <v>0</v>
      </c>
    </row>
    <row r="60" spans="1:21" x14ac:dyDescent="0.25">
      <c r="A60" s="4" t="str">
        <f>LEFT(A58,12)&amp;"_PB_"&amp;RIGHT(A58,2)&amp;"_DE"</f>
        <v>BXX_PSB1_TI1_PB_TL_DE</v>
      </c>
      <c r="B60" s="4" t="str">
        <f t="shared" si="1"/>
        <v>BXX</v>
      </c>
      <c r="C60" s="4" t="str">
        <f>$C58&amp;" Dialer En"</f>
        <v>Station BXX Low Temperature Dialer En</v>
      </c>
      <c r="D60" s="2">
        <f t="shared" ref="D60:D63" si="32">LEN(C60)</f>
        <v>37</v>
      </c>
      <c r="E60" t="s">
        <v>14</v>
      </c>
      <c r="F60" t="s">
        <v>13</v>
      </c>
      <c r="G60">
        <v>600</v>
      </c>
      <c r="H60" t="s">
        <v>13</v>
      </c>
      <c r="I60" t="s">
        <v>54</v>
      </c>
      <c r="J60" t="s">
        <v>60</v>
      </c>
      <c r="K60" t="s">
        <v>59</v>
      </c>
      <c r="L60" t="s">
        <v>56</v>
      </c>
      <c r="M60" s="5">
        <v>1</v>
      </c>
      <c r="N60" t="s">
        <v>57</v>
      </c>
      <c r="O60" s="4" t="str">
        <f t="shared" si="21"/>
        <v>BXX</v>
      </c>
      <c r="P60" t="s">
        <v>14</v>
      </c>
      <c r="Q60" s="4" t="str">
        <f>A58&amp;".DE"</f>
        <v>BXX_PSB1_TI1_DA_TL.DE</v>
      </c>
      <c r="R60" t="s">
        <v>14</v>
      </c>
      <c r="S60" s="4" t="str">
        <f t="shared" ref="S60:S63" si="33">C60</f>
        <v>Station BXX Low Temperature Dialer En</v>
      </c>
      <c r="T60">
        <v>0</v>
      </c>
      <c r="U60">
        <v>0</v>
      </c>
    </row>
    <row r="61" spans="1:21" x14ac:dyDescent="0.25">
      <c r="A61" s="4" t="str">
        <f>LEFT(A58,12)&amp;"_PB_"&amp;RIGHT(A58,2)&amp;"_SR"</f>
        <v>BXX_PSB1_TI1_PB_TL_SR</v>
      </c>
      <c r="B61" s="4" t="str">
        <f t="shared" si="1"/>
        <v>BXX</v>
      </c>
      <c r="C61" s="4" t="str">
        <f>$C58&amp;" Super En"</f>
        <v>Station BXX Low Temperature Super En</v>
      </c>
      <c r="D61" s="2">
        <f t="shared" si="32"/>
        <v>36</v>
      </c>
      <c r="E61" t="s">
        <v>14</v>
      </c>
      <c r="F61" t="s">
        <v>13</v>
      </c>
      <c r="G61">
        <v>600</v>
      </c>
      <c r="H61" t="s">
        <v>13</v>
      </c>
      <c r="I61" t="s">
        <v>54</v>
      </c>
      <c r="J61" t="s">
        <v>60</v>
      </c>
      <c r="K61" t="s">
        <v>59</v>
      </c>
      <c r="L61" t="s">
        <v>56</v>
      </c>
      <c r="M61" s="5">
        <v>1</v>
      </c>
      <c r="N61" t="s">
        <v>57</v>
      </c>
      <c r="O61" s="4" t="str">
        <f t="shared" si="21"/>
        <v>BXX</v>
      </c>
      <c r="P61" t="s">
        <v>14</v>
      </c>
      <c r="Q61" s="4" t="str">
        <f>A58&amp;".SR"</f>
        <v>BXX_PSB1_TI1_DA_TL.SR</v>
      </c>
      <c r="R61" t="s">
        <v>14</v>
      </c>
      <c r="S61" s="4" t="str">
        <f t="shared" si="33"/>
        <v>Station BXX Low Temperature Super En</v>
      </c>
      <c r="T61">
        <v>0</v>
      </c>
      <c r="U61">
        <v>0</v>
      </c>
    </row>
    <row r="62" spans="1:21" x14ac:dyDescent="0.25">
      <c r="A62" s="4" t="str">
        <f>$A$3&amp;"_PSB1_TI1_DA_TH"</f>
        <v>BXX_PSB1_TI1_DA_TH</v>
      </c>
      <c r="B62" s="4" t="str">
        <f t="shared" si="1"/>
        <v>BXX</v>
      </c>
      <c r="C62" s="4" t="str">
        <f>$C$3&amp;" High Temperature"</f>
        <v>Station BXX High Temperature</v>
      </c>
      <c r="D62" s="2">
        <f t="shared" si="32"/>
        <v>28</v>
      </c>
      <c r="E62" t="s">
        <v>14</v>
      </c>
      <c r="F62" t="s">
        <v>14</v>
      </c>
      <c r="G62">
        <v>0</v>
      </c>
      <c r="H62" t="s">
        <v>13</v>
      </c>
      <c r="I62" t="s">
        <v>54</v>
      </c>
      <c r="J62" t="s">
        <v>62</v>
      </c>
      <c r="K62" t="s">
        <v>119</v>
      </c>
      <c r="L62" t="s">
        <v>61</v>
      </c>
      <c r="M62" s="5">
        <v>56</v>
      </c>
      <c r="N62" t="s">
        <v>57</v>
      </c>
      <c r="O62" s="4" t="str">
        <f t="shared" si="21"/>
        <v>BXX</v>
      </c>
      <c r="P62" t="s">
        <v>14</v>
      </c>
      <c r="Q62" s="4" t="str">
        <f>A62&amp;".eng"</f>
        <v>BXX_PSB1_TI1_DA_TH.eng</v>
      </c>
      <c r="R62" t="s">
        <v>14</v>
      </c>
      <c r="S62" s="4" t="str">
        <f t="shared" si="33"/>
        <v>Station BXX High Temperature</v>
      </c>
      <c r="T62">
        <v>0</v>
      </c>
      <c r="U62">
        <v>0</v>
      </c>
    </row>
    <row r="63" spans="1:21" x14ac:dyDescent="0.25">
      <c r="A63" s="4" t="str">
        <f>LEFT(A62,12)&amp;"_PB_"&amp;RIGHT(A62,2)&amp;"_RE"</f>
        <v>BXX_PSB1_TI1_PB_TH_RE</v>
      </c>
      <c r="B63" s="4" t="str">
        <f t="shared" si="1"/>
        <v>BXX</v>
      </c>
      <c r="C63" s="4" t="str">
        <f>C62 &amp;" Enable"</f>
        <v>Station BXX High Temperature Enable</v>
      </c>
      <c r="D63" s="2">
        <f t="shared" si="32"/>
        <v>35</v>
      </c>
      <c r="E63" t="s">
        <v>14</v>
      </c>
      <c r="F63" t="s">
        <v>13</v>
      </c>
      <c r="G63">
        <v>600</v>
      </c>
      <c r="H63" t="s">
        <v>13</v>
      </c>
      <c r="I63" t="s">
        <v>54</v>
      </c>
      <c r="J63" t="s">
        <v>60</v>
      </c>
      <c r="K63" t="s">
        <v>59</v>
      </c>
      <c r="L63" t="s">
        <v>56</v>
      </c>
      <c r="M63" s="5">
        <v>1</v>
      </c>
      <c r="N63" t="s">
        <v>57</v>
      </c>
      <c r="O63" s="4" t="str">
        <f t="shared" si="21"/>
        <v>BXX</v>
      </c>
      <c r="P63" t="s">
        <v>14</v>
      </c>
      <c r="Q63" s="4" t="str">
        <f>A62&amp;".RE"</f>
        <v>BXX_PSB1_TI1_DA_TH.RE</v>
      </c>
      <c r="R63" t="s">
        <v>14</v>
      </c>
      <c r="S63" s="4" t="str">
        <f t="shared" si="33"/>
        <v>Station BXX High Temperature Enable</v>
      </c>
      <c r="T63">
        <v>0</v>
      </c>
      <c r="U63">
        <v>0</v>
      </c>
    </row>
    <row r="64" spans="1:21" x14ac:dyDescent="0.25">
      <c r="A64" s="4" t="str">
        <f>LEFT(A62,12)&amp;"_PB_"&amp;RIGHT(A62,2)&amp;"_DE"</f>
        <v>BXX_PSB1_TI1_PB_TH_DE</v>
      </c>
      <c r="B64" s="4" t="str">
        <f t="shared" si="1"/>
        <v>BXX</v>
      </c>
      <c r="C64" s="4" t="str">
        <f>$C62&amp;" Dialer En"</f>
        <v>Station BXX High Temperature Dialer En</v>
      </c>
      <c r="D64" s="2">
        <f t="shared" ref="D64:D67" si="34">LEN(C64)</f>
        <v>38</v>
      </c>
      <c r="E64" t="s">
        <v>14</v>
      </c>
      <c r="F64" t="s">
        <v>13</v>
      </c>
      <c r="G64">
        <v>600</v>
      </c>
      <c r="H64" t="s">
        <v>13</v>
      </c>
      <c r="I64" t="s">
        <v>54</v>
      </c>
      <c r="J64" t="s">
        <v>60</v>
      </c>
      <c r="K64" t="s">
        <v>59</v>
      </c>
      <c r="L64" t="s">
        <v>56</v>
      </c>
      <c r="M64" s="5">
        <v>1</v>
      </c>
      <c r="N64" t="s">
        <v>57</v>
      </c>
      <c r="O64" s="4" t="str">
        <f t="shared" si="21"/>
        <v>BXX</v>
      </c>
      <c r="P64" t="s">
        <v>14</v>
      </c>
      <c r="Q64" s="4" t="str">
        <f>A62&amp;".DE"</f>
        <v>BXX_PSB1_TI1_DA_TH.DE</v>
      </c>
      <c r="R64" t="s">
        <v>14</v>
      </c>
      <c r="S64" s="4" t="str">
        <f t="shared" ref="S64:S67" si="35">C64</f>
        <v>Station BXX High Temperature Dialer En</v>
      </c>
      <c r="T64">
        <v>0</v>
      </c>
      <c r="U64">
        <v>0</v>
      </c>
    </row>
    <row r="65" spans="1:21" x14ac:dyDescent="0.25">
      <c r="A65" s="4" t="str">
        <f>LEFT(A62,12)&amp;"_PB_"&amp;RIGHT(A62,2)&amp;"_SR"</f>
        <v>BXX_PSB1_TI1_PB_TH_SR</v>
      </c>
      <c r="B65" s="4" t="str">
        <f t="shared" si="1"/>
        <v>BXX</v>
      </c>
      <c r="C65" s="4" t="str">
        <f>$C62&amp;" Super En"</f>
        <v>Station BXX High Temperature Super En</v>
      </c>
      <c r="D65" s="2">
        <f t="shared" si="34"/>
        <v>37</v>
      </c>
      <c r="E65" t="s">
        <v>14</v>
      </c>
      <c r="F65" t="s">
        <v>13</v>
      </c>
      <c r="G65">
        <v>600</v>
      </c>
      <c r="H65" t="s">
        <v>13</v>
      </c>
      <c r="I65" t="s">
        <v>54</v>
      </c>
      <c r="J65" t="s">
        <v>60</v>
      </c>
      <c r="K65" t="s">
        <v>59</v>
      </c>
      <c r="L65" t="s">
        <v>56</v>
      </c>
      <c r="M65" s="5">
        <v>1</v>
      </c>
      <c r="N65" t="s">
        <v>57</v>
      </c>
      <c r="O65" s="4" t="str">
        <f t="shared" si="21"/>
        <v>BXX</v>
      </c>
      <c r="P65" t="s">
        <v>14</v>
      </c>
      <c r="Q65" s="4" t="str">
        <f>A62&amp;".SR"</f>
        <v>BXX_PSB1_TI1_DA_TH.SR</v>
      </c>
      <c r="R65" t="s">
        <v>14</v>
      </c>
      <c r="S65" s="4" t="str">
        <f t="shared" si="35"/>
        <v>Station BXX High Temperature Super En</v>
      </c>
      <c r="T65">
        <v>0</v>
      </c>
      <c r="U65">
        <v>0</v>
      </c>
    </row>
    <row r="66" spans="1:21" x14ac:dyDescent="0.25">
      <c r="A66" s="4" t="str">
        <f>$A$3&amp;"_DW01_LE1_DA_KA"</f>
        <v>BXX_DW01_LE1_DA_KA</v>
      </c>
      <c r="B66" s="4" t="str">
        <f t="shared" si="1"/>
        <v>BXX</v>
      </c>
      <c r="C66" s="4" t="str">
        <f>$C$3&amp;" Dry Well Flood"</f>
        <v>Station BXX Dry Well Flood</v>
      </c>
      <c r="D66" s="2">
        <f t="shared" si="34"/>
        <v>26</v>
      </c>
      <c r="E66" t="s">
        <v>14</v>
      </c>
      <c r="F66" t="s">
        <v>14</v>
      </c>
      <c r="G66">
        <v>0</v>
      </c>
      <c r="H66" t="s">
        <v>13</v>
      </c>
      <c r="I66" t="s">
        <v>54</v>
      </c>
      <c r="J66" t="s">
        <v>62</v>
      </c>
      <c r="K66" t="s">
        <v>119</v>
      </c>
      <c r="L66" t="s">
        <v>61</v>
      </c>
      <c r="M66" s="5">
        <v>9</v>
      </c>
      <c r="N66" t="s">
        <v>57</v>
      </c>
      <c r="O66" s="4" t="str">
        <f t="shared" si="21"/>
        <v>BXX</v>
      </c>
      <c r="P66" t="s">
        <v>14</v>
      </c>
      <c r="Q66" s="4" t="str">
        <f>A66&amp;".eng"</f>
        <v>BXX_DW01_LE1_DA_KA.eng</v>
      </c>
      <c r="R66" t="s">
        <v>14</v>
      </c>
      <c r="S66" s="4" t="str">
        <f t="shared" si="35"/>
        <v>Station BXX Dry Well Flood</v>
      </c>
      <c r="T66">
        <v>0</v>
      </c>
      <c r="U66">
        <v>0</v>
      </c>
    </row>
    <row r="67" spans="1:21" x14ac:dyDescent="0.25">
      <c r="A67" s="4" t="str">
        <f>LEFT(A66,12)&amp;"_PB_"&amp;RIGHT(A66,2)&amp;"_RE"</f>
        <v>BXX_DW01_LE1_PB_KA_RE</v>
      </c>
      <c r="B67" s="4" t="str">
        <f t="shared" si="1"/>
        <v>BXX</v>
      </c>
      <c r="C67" s="4" t="str">
        <f>C66 &amp;" Enable"</f>
        <v>Station BXX Dry Well Flood Enable</v>
      </c>
      <c r="D67" s="2">
        <f t="shared" si="34"/>
        <v>33</v>
      </c>
      <c r="E67" t="s">
        <v>14</v>
      </c>
      <c r="F67" t="s">
        <v>13</v>
      </c>
      <c r="G67">
        <v>600</v>
      </c>
      <c r="H67" t="s">
        <v>13</v>
      </c>
      <c r="I67" t="s">
        <v>54</v>
      </c>
      <c r="J67" t="s">
        <v>60</v>
      </c>
      <c r="K67" t="s">
        <v>59</v>
      </c>
      <c r="L67" t="s">
        <v>56</v>
      </c>
      <c r="M67" s="5">
        <v>1</v>
      </c>
      <c r="N67" t="s">
        <v>57</v>
      </c>
      <c r="O67" s="4" t="str">
        <f t="shared" si="21"/>
        <v>BXX</v>
      </c>
      <c r="P67" t="s">
        <v>14</v>
      </c>
      <c r="Q67" s="4" t="str">
        <f>A66&amp;".RE"</f>
        <v>BXX_DW01_LE1_DA_KA.RE</v>
      </c>
      <c r="R67" t="s">
        <v>14</v>
      </c>
      <c r="S67" s="4" t="str">
        <f t="shared" si="35"/>
        <v>Station BXX Dry Well Flood Enable</v>
      </c>
      <c r="T67">
        <v>0</v>
      </c>
      <c r="U67">
        <v>0</v>
      </c>
    </row>
    <row r="68" spans="1:21" x14ac:dyDescent="0.25">
      <c r="A68" s="4" t="str">
        <f>LEFT(A66,12)&amp;"_PB_"&amp;RIGHT(A66,2)&amp;"_DE"</f>
        <v>BXX_DW01_LE1_PB_KA_DE</v>
      </c>
      <c r="B68" s="4" t="str">
        <f t="shared" si="1"/>
        <v>BXX</v>
      </c>
      <c r="C68" s="4" t="str">
        <f>$C66&amp;" Dialer En"</f>
        <v>Station BXX Dry Well Flood Dialer En</v>
      </c>
      <c r="D68" s="2">
        <f t="shared" ref="D68:D71" si="36">LEN(C68)</f>
        <v>36</v>
      </c>
      <c r="E68" t="s">
        <v>14</v>
      </c>
      <c r="F68" t="s">
        <v>13</v>
      </c>
      <c r="G68">
        <v>600</v>
      </c>
      <c r="H68" t="s">
        <v>13</v>
      </c>
      <c r="I68" t="s">
        <v>54</v>
      </c>
      <c r="J68" t="s">
        <v>60</v>
      </c>
      <c r="K68" t="s">
        <v>59</v>
      </c>
      <c r="L68" t="s">
        <v>56</v>
      </c>
      <c r="M68" s="5">
        <v>1</v>
      </c>
      <c r="N68" t="s">
        <v>57</v>
      </c>
      <c r="O68" s="4" t="str">
        <f t="shared" si="21"/>
        <v>BXX</v>
      </c>
      <c r="P68" t="s">
        <v>14</v>
      </c>
      <c r="Q68" s="4" t="str">
        <f>A66&amp;".DE"</f>
        <v>BXX_DW01_LE1_DA_KA.DE</v>
      </c>
      <c r="R68" t="s">
        <v>14</v>
      </c>
      <c r="S68" s="4" t="str">
        <f t="shared" ref="S68:S71" si="37">C68</f>
        <v>Station BXX Dry Well Flood Dialer En</v>
      </c>
      <c r="T68">
        <v>0</v>
      </c>
      <c r="U68">
        <v>0</v>
      </c>
    </row>
    <row r="69" spans="1:21" x14ac:dyDescent="0.25">
      <c r="A69" s="4" t="str">
        <f>LEFT(A66,12)&amp;"_PB_"&amp;RIGHT(A66,2)&amp;"_SR"</f>
        <v>BXX_DW01_LE1_PB_KA_SR</v>
      </c>
      <c r="B69" s="4" t="str">
        <f t="shared" si="1"/>
        <v>BXX</v>
      </c>
      <c r="C69" s="4" t="str">
        <f>$C66&amp;" Super En"</f>
        <v>Station BXX Dry Well Flood Super En</v>
      </c>
      <c r="D69" s="2">
        <f t="shared" si="36"/>
        <v>35</v>
      </c>
      <c r="E69" t="s">
        <v>14</v>
      </c>
      <c r="F69" t="s">
        <v>13</v>
      </c>
      <c r="G69">
        <v>600</v>
      </c>
      <c r="H69" t="s">
        <v>13</v>
      </c>
      <c r="I69" t="s">
        <v>54</v>
      </c>
      <c r="J69" t="s">
        <v>60</v>
      </c>
      <c r="K69" t="s">
        <v>59</v>
      </c>
      <c r="L69" t="s">
        <v>56</v>
      </c>
      <c r="M69" s="5">
        <v>1</v>
      </c>
      <c r="N69" t="s">
        <v>57</v>
      </c>
      <c r="O69" s="4" t="str">
        <f t="shared" si="21"/>
        <v>BXX</v>
      </c>
      <c r="P69" t="s">
        <v>14</v>
      </c>
      <c r="Q69" s="4" t="str">
        <f>A66&amp;".SR"</f>
        <v>BXX_DW01_LE1_DA_KA.SR</v>
      </c>
      <c r="R69" t="s">
        <v>14</v>
      </c>
      <c r="S69" s="4" t="str">
        <f t="shared" si="37"/>
        <v>Station BXX Dry Well Flood Super En</v>
      </c>
      <c r="T69">
        <v>0</v>
      </c>
      <c r="U69">
        <v>0</v>
      </c>
    </row>
    <row r="70" spans="1:21" x14ac:dyDescent="0.25">
      <c r="A70" s="4" t="str">
        <f>$A$3&amp;"_PSB1_001_DA_YA"</f>
        <v>BXX_PSB1_001_DA_YA</v>
      </c>
      <c r="B70" s="4" t="str">
        <f t="shared" si="1"/>
        <v>BXX</v>
      </c>
      <c r="C70" s="4" t="str">
        <f>$C$3&amp;" Fire Alarm"</f>
        <v>Station BXX Fire Alarm</v>
      </c>
      <c r="D70" s="2">
        <f t="shared" si="36"/>
        <v>22</v>
      </c>
      <c r="E70" t="s">
        <v>14</v>
      </c>
      <c r="F70" t="s">
        <v>14</v>
      </c>
      <c r="G70">
        <v>0</v>
      </c>
      <c r="H70" t="s">
        <v>13</v>
      </c>
      <c r="I70" t="s">
        <v>54</v>
      </c>
      <c r="J70" t="s">
        <v>62</v>
      </c>
      <c r="K70" t="s">
        <v>119</v>
      </c>
      <c r="L70" t="s">
        <v>61</v>
      </c>
      <c r="M70" s="5">
        <v>1</v>
      </c>
      <c r="N70" t="s">
        <v>57</v>
      </c>
      <c r="O70" s="4" t="str">
        <f t="shared" si="21"/>
        <v>BXX</v>
      </c>
      <c r="P70" t="s">
        <v>14</v>
      </c>
      <c r="Q70" s="4" t="str">
        <f>A70&amp;".eng"</f>
        <v>BXX_PSB1_001_DA_YA.eng</v>
      </c>
      <c r="R70" t="s">
        <v>14</v>
      </c>
      <c r="S70" s="4" t="str">
        <f t="shared" si="37"/>
        <v>Station BXX Fire Alarm</v>
      </c>
      <c r="T70">
        <v>0</v>
      </c>
      <c r="U70">
        <v>0</v>
      </c>
    </row>
    <row r="71" spans="1:21" x14ac:dyDescent="0.25">
      <c r="A71" s="4" t="str">
        <f>LEFT(A70,12)&amp;"_PB_"&amp;RIGHT(A70,2)&amp;"_RE"</f>
        <v>BXX_PSB1_001_PB_YA_RE</v>
      </c>
      <c r="B71" s="4" t="str">
        <f t="shared" si="1"/>
        <v>BXX</v>
      </c>
      <c r="C71" s="4" t="str">
        <f>C70 &amp;" Enable"</f>
        <v>Station BXX Fire Alarm Enable</v>
      </c>
      <c r="D71" s="2">
        <f t="shared" si="36"/>
        <v>29</v>
      </c>
      <c r="E71" t="s">
        <v>14</v>
      </c>
      <c r="F71" t="s">
        <v>13</v>
      </c>
      <c r="G71">
        <v>600</v>
      </c>
      <c r="H71" t="s">
        <v>13</v>
      </c>
      <c r="I71" t="s">
        <v>54</v>
      </c>
      <c r="J71" t="s">
        <v>60</v>
      </c>
      <c r="K71" t="s">
        <v>59</v>
      </c>
      <c r="L71" t="s">
        <v>56</v>
      </c>
      <c r="M71" s="5">
        <v>1</v>
      </c>
      <c r="N71" t="s">
        <v>57</v>
      </c>
      <c r="O71" s="4" t="str">
        <f t="shared" ref="O71:O102" si="38">$O$6</f>
        <v>BXX</v>
      </c>
      <c r="P71" t="s">
        <v>14</v>
      </c>
      <c r="Q71" s="4" t="str">
        <f>A70&amp;".RE"</f>
        <v>BXX_PSB1_001_DA_YA.RE</v>
      </c>
      <c r="R71" t="s">
        <v>14</v>
      </c>
      <c r="S71" s="4" t="str">
        <f t="shared" si="37"/>
        <v>Station BXX Fire Alarm Enable</v>
      </c>
      <c r="T71">
        <v>0</v>
      </c>
      <c r="U71">
        <v>0</v>
      </c>
    </row>
    <row r="72" spans="1:21" x14ac:dyDescent="0.25">
      <c r="A72" s="4" t="str">
        <f>LEFT(A70,12)&amp;"_PB_"&amp;RIGHT(A70,2)&amp;"_DE"</f>
        <v>BXX_PSB1_001_PB_YA_DE</v>
      </c>
      <c r="B72" s="4" t="str">
        <f t="shared" si="1"/>
        <v>BXX</v>
      </c>
      <c r="C72" s="4" t="str">
        <f>$C70&amp;" Dialer En"</f>
        <v>Station BXX Fire Alarm Dialer En</v>
      </c>
      <c r="D72" s="2">
        <f t="shared" ref="D72:D75" si="39">LEN(C72)</f>
        <v>32</v>
      </c>
      <c r="E72" t="s">
        <v>14</v>
      </c>
      <c r="F72" t="s">
        <v>13</v>
      </c>
      <c r="G72">
        <v>600</v>
      </c>
      <c r="H72" t="s">
        <v>13</v>
      </c>
      <c r="I72" t="s">
        <v>54</v>
      </c>
      <c r="J72" t="s">
        <v>60</v>
      </c>
      <c r="K72" t="s">
        <v>59</v>
      </c>
      <c r="L72" t="s">
        <v>56</v>
      </c>
      <c r="M72" s="5">
        <v>1</v>
      </c>
      <c r="N72" t="s">
        <v>57</v>
      </c>
      <c r="O72" s="4" t="str">
        <f t="shared" si="38"/>
        <v>BXX</v>
      </c>
      <c r="P72" t="s">
        <v>14</v>
      </c>
      <c r="Q72" s="4" t="str">
        <f>A70&amp;".DE"</f>
        <v>BXX_PSB1_001_DA_YA.DE</v>
      </c>
      <c r="R72" t="s">
        <v>14</v>
      </c>
      <c r="S72" s="4" t="str">
        <f t="shared" ref="S72:S75" si="40">C72</f>
        <v>Station BXX Fire Alarm Dialer En</v>
      </c>
      <c r="T72">
        <v>0</v>
      </c>
      <c r="U72">
        <v>0</v>
      </c>
    </row>
    <row r="73" spans="1:21" x14ac:dyDescent="0.25">
      <c r="A73" s="4" t="str">
        <f>LEFT(A70,12)&amp;"_PB_"&amp;RIGHT(A70,2)&amp;"_SR"</f>
        <v>BXX_PSB1_001_PB_YA_SR</v>
      </c>
      <c r="B73" s="4" t="str">
        <f t="shared" ref="B73" si="41">$A$3</f>
        <v>BXX</v>
      </c>
      <c r="C73" s="4" t="str">
        <f>$C70&amp;" Super En"</f>
        <v>Station BXX Fire Alarm Super En</v>
      </c>
      <c r="D73" s="2">
        <f t="shared" si="39"/>
        <v>31</v>
      </c>
      <c r="E73" t="s">
        <v>14</v>
      </c>
      <c r="F73" t="s">
        <v>13</v>
      </c>
      <c r="G73">
        <v>600</v>
      </c>
      <c r="H73" t="s">
        <v>13</v>
      </c>
      <c r="I73" t="s">
        <v>54</v>
      </c>
      <c r="J73" t="s">
        <v>60</v>
      </c>
      <c r="K73" t="s">
        <v>59</v>
      </c>
      <c r="L73" t="s">
        <v>56</v>
      </c>
      <c r="M73" s="5">
        <v>1</v>
      </c>
      <c r="N73" t="s">
        <v>57</v>
      </c>
      <c r="O73" s="4" t="str">
        <f t="shared" si="38"/>
        <v>BXX</v>
      </c>
      <c r="P73" t="s">
        <v>14</v>
      </c>
      <c r="Q73" s="4" t="str">
        <f>A70&amp;".SR"</f>
        <v>BXX_PSB1_001_DA_YA.SR</v>
      </c>
      <c r="R73" t="s">
        <v>14</v>
      </c>
      <c r="S73" s="4" t="str">
        <f t="shared" si="40"/>
        <v>Station BXX Fire Alarm Super En</v>
      </c>
      <c r="T73">
        <v>0</v>
      </c>
      <c r="U73">
        <v>0</v>
      </c>
    </row>
    <row r="74" spans="1:21" x14ac:dyDescent="0.25">
      <c r="A74" s="4" t="str">
        <f>$A$3&amp;"_GDS1_GI1_DA_AR"</f>
        <v>BXX_GDS1_GI1_DA_AR</v>
      </c>
      <c r="B74" s="4" t="str">
        <f t="shared" si="1"/>
        <v>BXX</v>
      </c>
      <c r="C74" s="4" t="str">
        <f>$C$3&amp;" Gas Detector Failure"</f>
        <v>Station BXX Gas Detector Failure</v>
      </c>
      <c r="D74" s="2">
        <f t="shared" si="39"/>
        <v>32</v>
      </c>
      <c r="E74" t="s">
        <v>14</v>
      </c>
      <c r="F74" t="s">
        <v>14</v>
      </c>
      <c r="G74">
        <v>0</v>
      </c>
      <c r="H74" t="s">
        <v>13</v>
      </c>
      <c r="I74" t="s">
        <v>54</v>
      </c>
      <c r="J74" t="s">
        <v>62</v>
      </c>
      <c r="K74" t="s">
        <v>119</v>
      </c>
      <c r="L74" t="s">
        <v>61</v>
      </c>
      <c r="M74" s="5">
        <v>12</v>
      </c>
      <c r="N74" t="s">
        <v>57</v>
      </c>
      <c r="O74" s="4" t="str">
        <f t="shared" si="38"/>
        <v>BXX</v>
      </c>
      <c r="P74" t="s">
        <v>14</v>
      </c>
      <c r="Q74" s="4" t="str">
        <f>A74&amp;".eng"</f>
        <v>BXX_GDS1_GI1_DA_AR.eng</v>
      </c>
      <c r="R74" t="s">
        <v>14</v>
      </c>
      <c r="S74" s="4" t="str">
        <f t="shared" si="40"/>
        <v>Station BXX Gas Detector Failure</v>
      </c>
      <c r="T74">
        <v>0</v>
      </c>
      <c r="U74">
        <v>0</v>
      </c>
    </row>
    <row r="75" spans="1:21" x14ac:dyDescent="0.25">
      <c r="A75" s="4" t="str">
        <f>LEFT(A74,12)&amp;"_PB_"&amp;RIGHT(A74,2)&amp;"_RE"</f>
        <v>BXX_GDS1_GI1_PB_AR_RE</v>
      </c>
      <c r="B75" s="4" t="str">
        <f t="shared" ref="B75:B109" si="42">$A$3</f>
        <v>BXX</v>
      </c>
      <c r="C75" s="4" t="str">
        <f>C74 &amp;" Enable"</f>
        <v>Station BXX Gas Detector Failure Enable</v>
      </c>
      <c r="D75" s="2">
        <f t="shared" si="39"/>
        <v>39</v>
      </c>
      <c r="E75" t="s">
        <v>14</v>
      </c>
      <c r="F75" t="s">
        <v>13</v>
      </c>
      <c r="G75">
        <v>600</v>
      </c>
      <c r="H75" t="s">
        <v>13</v>
      </c>
      <c r="I75" t="s">
        <v>54</v>
      </c>
      <c r="J75" t="s">
        <v>60</v>
      </c>
      <c r="K75" t="s">
        <v>59</v>
      </c>
      <c r="L75" t="s">
        <v>56</v>
      </c>
      <c r="M75" s="5">
        <v>1</v>
      </c>
      <c r="N75" t="s">
        <v>57</v>
      </c>
      <c r="O75" s="4" t="str">
        <f t="shared" si="38"/>
        <v>BXX</v>
      </c>
      <c r="P75" t="s">
        <v>14</v>
      </c>
      <c r="Q75" s="4" t="str">
        <f>A74&amp;".RE"</f>
        <v>BXX_GDS1_GI1_DA_AR.RE</v>
      </c>
      <c r="R75" t="s">
        <v>14</v>
      </c>
      <c r="S75" s="4" t="str">
        <f t="shared" si="40"/>
        <v>Station BXX Gas Detector Failure Enable</v>
      </c>
      <c r="T75">
        <v>0</v>
      </c>
      <c r="U75">
        <v>0</v>
      </c>
    </row>
    <row r="76" spans="1:21" x14ac:dyDescent="0.25">
      <c r="A76" s="4" t="str">
        <f>LEFT(A74,12)&amp;"_PB_"&amp;RIGHT(A74,2)&amp;"_DE"</f>
        <v>BXX_GDS1_GI1_PB_AR_DE</v>
      </c>
      <c r="B76" s="4" t="str">
        <f t="shared" si="42"/>
        <v>BXX</v>
      </c>
      <c r="C76" s="4" t="str">
        <f>$C74&amp;" Dialer En"</f>
        <v>Station BXX Gas Detector Failure Dialer En</v>
      </c>
      <c r="D76" s="2">
        <f t="shared" ref="D76:D79" si="43">LEN(C76)</f>
        <v>42</v>
      </c>
      <c r="E76" t="s">
        <v>14</v>
      </c>
      <c r="F76" t="s">
        <v>13</v>
      </c>
      <c r="G76">
        <v>600</v>
      </c>
      <c r="H76" t="s">
        <v>13</v>
      </c>
      <c r="I76" t="s">
        <v>54</v>
      </c>
      <c r="J76" t="s">
        <v>60</v>
      </c>
      <c r="K76" t="s">
        <v>59</v>
      </c>
      <c r="L76" t="s">
        <v>56</v>
      </c>
      <c r="M76" s="5">
        <v>1</v>
      </c>
      <c r="N76" t="s">
        <v>57</v>
      </c>
      <c r="O76" s="4" t="str">
        <f t="shared" si="38"/>
        <v>BXX</v>
      </c>
      <c r="P76" t="s">
        <v>14</v>
      </c>
      <c r="Q76" s="4" t="str">
        <f>A74&amp;".DE"</f>
        <v>BXX_GDS1_GI1_DA_AR.DE</v>
      </c>
      <c r="R76" t="s">
        <v>14</v>
      </c>
      <c r="S76" s="4" t="str">
        <f t="shared" ref="S76:S79" si="44">C76</f>
        <v>Station BXX Gas Detector Failure Dialer En</v>
      </c>
      <c r="T76">
        <v>0</v>
      </c>
      <c r="U76">
        <v>0</v>
      </c>
    </row>
    <row r="77" spans="1:21" x14ac:dyDescent="0.25">
      <c r="A77" s="4" t="str">
        <f>LEFT(A74,12)&amp;"_PB_"&amp;RIGHT(A74,2)&amp;"_SR"</f>
        <v>BXX_GDS1_GI1_PB_AR_SR</v>
      </c>
      <c r="B77" s="4" t="str">
        <f t="shared" si="42"/>
        <v>BXX</v>
      </c>
      <c r="C77" s="4" t="str">
        <f>$C74&amp;" Super En"</f>
        <v>Station BXX Gas Detector Failure Super En</v>
      </c>
      <c r="D77" s="2">
        <f t="shared" si="43"/>
        <v>41</v>
      </c>
      <c r="E77" t="s">
        <v>14</v>
      </c>
      <c r="F77" t="s">
        <v>13</v>
      </c>
      <c r="G77">
        <v>600</v>
      </c>
      <c r="H77" t="s">
        <v>13</v>
      </c>
      <c r="I77" t="s">
        <v>54</v>
      </c>
      <c r="J77" t="s">
        <v>60</v>
      </c>
      <c r="K77" t="s">
        <v>59</v>
      </c>
      <c r="L77" t="s">
        <v>56</v>
      </c>
      <c r="M77" s="5">
        <v>1</v>
      </c>
      <c r="N77" t="s">
        <v>57</v>
      </c>
      <c r="O77" s="4" t="str">
        <f t="shared" si="38"/>
        <v>BXX</v>
      </c>
      <c r="P77" t="s">
        <v>14</v>
      </c>
      <c r="Q77" s="4" t="str">
        <f>A74&amp;".SR"</f>
        <v>BXX_GDS1_GI1_DA_AR.SR</v>
      </c>
      <c r="R77" t="s">
        <v>14</v>
      </c>
      <c r="S77" s="4" t="str">
        <f t="shared" si="44"/>
        <v>Station BXX Gas Detector Failure Super En</v>
      </c>
      <c r="T77">
        <v>0</v>
      </c>
      <c r="U77">
        <v>0</v>
      </c>
    </row>
    <row r="78" spans="1:21" x14ac:dyDescent="0.25">
      <c r="A78" s="4" t="str">
        <f>$A$3&amp;"_GDS1_GI1_DA_AG"</f>
        <v>BXX_GDS1_GI1_DA_AG</v>
      </c>
      <c r="B78" s="4" t="str">
        <f t="shared" si="42"/>
        <v>BXX</v>
      </c>
      <c r="C78" s="4" t="str">
        <f>$C$3&amp;" Gas Detector Alarm"</f>
        <v>Station BXX Gas Detector Alarm</v>
      </c>
      <c r="D78" s="2">
        <f t="shared" si="43"/>
        <v>30</v>
      </c>
      <c r="E78" t="s">
        <v>14</v>
      </c>
      <c r="F78" t="s">
        <v>14</v>
      </c>
      <c r="G78">
        <v>0</v>
      </c>
      <c r="H78" t="s">
        <v>13</v>
      </c>
      <c r="I78" t="s">
        <v>54</v>
      </c>
      <c r="J78" t="s">
        <v>62</v>
      </c>
      <c r="K78" t="s">
        <v>119</v>
      </c>
      <c r="L78" t="s">
        <v>61</v>
      </c>
      <c r="M78" s="5">
        <v>10</v>
      </c>
      <c r="N78" t="s">
        <v>57</v>
      </c>
      <c r="O78" s="4" t="str">
        <f t="shared" si="38"/>
        <v>BXX</v>
      </c>
      <c r="P78" t="s">
        <v>14</v>
      </c>
      <c r="Q78" s="4" t="str">
        <f>A78&amp;".eng"</f>
        <v>BXX_GDS1_GI1_DA_AG.eng</v>
      </c>
      <c r="R78" t="s">
        <v>14</v>
      </c>
      <c r="S78" s="4" t="str">
        <f t="shared" si="44"/>
        <v>Station BXX Gas Detector Alarm</v>
      </c>
      <c r="T78">
        <v>0</v>
      </c>
      <c r="U78">
        <v>0</v>
      </c>
    </row>
    <row r="79" spans="1:21" x14ac:dyDescent="0.25">
      <c r="A79" s="4" t="str">
        <f>LEFT(A78,12)&amp;"_PB_"&amp;RIGHT(A78,2)&amp;"_RE"</f>
        <v>BXX_GDS1_GI1_PB_AG_RE</v>
      </c>
      <c r="B79" s="4" t="str">
        <f t="shared" si="42"/>
        <v>BXX</v>
      </c>
      <c r="C79" s="4" t="str">
        <f>C78 &amp;" Enable"</f>
        <v>Station BXX Gas Detector Alarm Enable</v>
      </c>
      <c r="D79" s="2">
        <f t="shared" si="43"/>
        <v>37</v>
      </c>
      <c r="E79" t="s">
        <v>14</v>
      </c>
      <c r="F79" t="s">
        <v>13</v>
      </c>
      <c r="G79">
        <v>600</v>
      </c>
      <c r="H79" t="s">
        <v>13</v>
      </c>
      <c r="I79" t="s">
        <v>54</v>
      </c>
      <c r="J79" t="s">
        <v>60</v>
      </c>
      <c r="K79" t="s">
        <v>59</v>
      </c>
      <c r="L79" t="s">
        <v>56</v>
      </c>
      <c r="M79" s="5">
        <v>1</v>
      </c>
      <c r="N79" t="s">
        <v>57</v>
      </c>
      <c r="O79" s="4" t="str">
        <f t="shared" si="38"/>
        <v>BXX</v>
      </c>
      <c r="P79" t="s">
        <v>14</v>
      </c>
      <c r="Q79" s="4" t="str">
        <f>A78&amp;".RE"</f>
        <v>BXX_GDS1_GI1_DA_AG.RE</v>
      </c>
      <c r="R79" t="s">
        <v>14</v>
      </c>
      <c r="S79" s="4" t="str">
        <f t="shared" si="44"/>
        <v>Station BXX Gas Detector Alarm Enable</v>
      </c>
      <c r="T79">
        <v>0</v>
      </c>
      <c r="U79">
        <v>0</v>
      </c>
    </row>
    <row r="80" spans="1:21" x14ac:dyDescent="0.25">
      <c r="A80" s="4" t="str">
        <f>LEFT(A78,12)&amp;"_PB_"&amp;RIGHT(A78,2)&amp;"_DE"</f>
        <v>BXX_GDS1_GI1_PB_AG_DE</v>
      </c>
      <c r="B80" s="4" t="str">
        <f t="shared" si="42"/>
        <v>BXX</v>
      </c>
      <c r="C80" s="4" t="str">
        <f>$C78&amp;" Dialer En"</f>
        <v>Station BXX Gas Detector Alarm Dialer En</v>
      </c>
      <c r="D80" s="2">
        <f t="shared" ref="D80:D83" si="45">LEN(C80)</f>
        <v>40</v>
      </c>
      <c r="E80" t="s">
        <v>14</v>
      </c>
      <c r="F80" t="s">
        <v>13</v>
      </c>
      <c r="G80">
        <v>600</v>
      </c>
      <c r="H80" t="s">
        <v>13</v>
      </c>
      <c r="I80" t="s">
        <v>54</v>
      </c>
      <c r="J80" t="s">
        <v>60</v>
      </c>
      <c r="K80" t="s">
        <v>59</v>
      </c>
      <c r="L80" t="s">
        <v>56</v>
      </c>
      <c r="M80" s="5">
        <v>1</v>
      </c>
      <c r="N80" t="s">
        <v>57</v>
      </c>
      <c r="O80" s="4" t="str">
        <f t="shared" si="38"/>
        <v>BXX</v>
      </c>
      <c r="P80" t="s">
        <v>14</v>
      </c>
      <c r="Q80" s="4" t="str">
        <f>A78&amp;".DE"</f>
        <v>BXX_GDS1_GI1_DA_AG.DE</v>
      </c>
      <c r="R80" t="s">
        <v>14</v>
      </c>
      <c r="S80" s="4" t="str">
        <f t="shared" ref="S80:S83" si="46">C80</f>
        <v>Station BXX Gas Detector Alarm Dialer En</v>
      </c>
      <c r="T80">
        <v>0</v>
      </c>
      <c r="U80">
        <v>0</v>
      </c>
    </row>
    <row r="81" spans="1:21" x14ac:dyDescent="0.25">
      <c r="A81" s="4" t="str">
        <f>LEFT(A78,12)&amp;"_PB_"&amp;RIGHT(A78,2)&amp;"_SR"</f>
        <v>BXX_GDS1_GI1_PB_AG_SR</v>
      </c>
      <c r="B81" s="4" t="str">
        <f t="shared" si="42"/>
        <v>BXX</v>
      </c>
      <c r="C81" s="4" t="str">
        <f>$C78&amp;" Super En"</f>
        <v>Station BXX Gas Detector Alarm Super En</v>
      </c>
      <c r="D81" s="2">
        <f t="shared" si="45"/>
        <v>39</v>
      </c>
      <c r="E81" t="s">
        <v>14</v>
      </c>
      <c r="F81" t="s">
        <v>13</v>
      </c>
      <c r="G81">
        <v>600</v>
      </c>
      <c r="H81" t="s">
        <v>13</v>
      </c>
      <c r="I81" t="s">
        <v>54</v>
      </c>
      <c r="J81" t="s">
        <v>60</v>
      </c>
      <c r="K81" t="s">
        <v>59</v>
      </c>
      <c r="L81" t="s">
        <v>56</v>
      </c>
      <c r="M81" s="5">
        <v>1</v>
      </c>
      <c r="N81" t="s">
        <v>57</v>
      </c>
      <c r="O81" s="4" t="str">
        <f t="shared" si="38"/>
        <v>BXX</v>
      </c>
      <c r="P81" t="s">
        <v>14</v>
      </c>
      <c r="Q81" s="4" t="str">
        <f>A78&amp;".SR"</f>
        <v>BXX_GDS1_GI1_DA_AG.SR</v>
      </c>
      <c r="R81" t="s">
        <v>14</v>
      </c>
      <c r="S81" s="4" t="str">
        <f t="shared" si="46"/>
        <v>Station BXX Gas Detector Alarm Super En</v>
      </c>
      <c r="T81">
        <v>0</v>
      </c>
      <c r="U81">
        <v>0</v>
      </c>
    </row>
    <row r="82" spans="1:21" x14ac:dyDescent="0.25">
      <c r="A82" s="4" t="str">
        <f>$A$3&amp;"_GDS1_GI1_DA_AW"</f>
        <v>BXX_GDS1_GI1_DA_AW</v>
      </c>
      <c r="B82" s="4" t="str">
        <f t="shared" si="42"/>
        <v>BXX</v>
      </c>
      <c r="C82" s="4" t="str">
        <f>$C$3&amp;" Gas Detector Warning"</f>
        <v>Station BXX Gas Detector Warning</v>
      </c>
      <c r="D82" s="2">
        <f t="shared" si="45"/>
        <v>32</v>
      </c>
      <c r="E82" t="s">
        <v>14</v>
      </c>
      <c r="F82" t="s">
        <v>14</v>
      </c>
      <c r="G82">
        <v>0</v>
      </c>
      <c r="H82" t="s">
        <v>13</v>
      </c>
      <c r="I82" t="s">
        <v>54</v>
      </c>
      <c r="J82" t="s">
        <v>62</v>
      </c>
      <c r="K82" t="s">
        <v>119</v>
      </c>
      <c r="L82" t="s">
        <v>61</v>
      </c>
      <c r="M82" s="5">
        <v>310</v>
      </c>
      <c r="N82" t="s">
        <v>57</v>
      </c>
      <c r="O82" s="4" t="str">
        <f t="shared" si="38"/>
        <v>BXX</v>
      </c>
      <c r="P82" t="s">
        <v>14</v>
      </c>
      <c r="Q82" s="4" t="str">
        <f>A82&amp;".eng"</f>
        <v>BXX_GDS1_GI1_DA_AW.eng</v>
      </c>
      <c r="R82" t="s">
        <v>14</v>
      </c>
      <c r="S82" s="4" t="str">
        <f t="shared" si="46"/>
        <v>Station BXX Gas Detector Warning</v>
      </c>
      <c r="T82">
        <v>0</v>
      </c>
      <c r="U82">
        <v>0</v>
      </c>
    </row>
    <row r="83" spans="1:21" x14ac:dyDescent="0.25">
      <c r="A83" s="4" t="str">
        <f>LEFT(A82,12)&amp;"_PB_"&amp;RIGHT(A82,2)&amp;"_RE"</f>
        <v>BXX_GDS1_GI1_PB_AW_RE</v>
      </c>
      <c r="B83" s="4" t="str">
        <f t="shared" si="42"/>
        <v>BXX</v>
      </c>
      <c r="C83" s="4" t="str">
        <f>C82 &amp;" Enable"</f>
        <v>Station BXX Gas Detector Warning Enable</v>
      </c>
      <c r="D83" s="2">
        <f t="shared" si="45"/>
        <v>39</v>
      </c>
      <c r="E83" t="s">
        <v>14</v>
      </c>
      <c r="F83" t="s">
        <v>13</v>
      </c>
      <c r="G83">
        <v>600</v>
      </c>
      <c r="H83" t="s">
        <v>13</v>
      </c>
      <c r="I83" t="s">
        <v>54</v>
      </c>
      <c r="J83" t="s">
        <v>60</v>
      </c>
      <c r="K83" t="s">
        <v>59</v>
      </c>
      <c r="L83" t="s">
        <v>56</v>
      </c>
      <c r="M83" s="5">
        <v>1</v>
      </c>
      <c r="N83" t="s">
        <v>57</v>
      </c>
      <c r="O83" s="4" t="str">
        <f t="shared" si="38"/>
        <v>BXX</v>
      </c>
      <c r="P83" t="s">
        <v>14</v>
      </c>
      <c r="Q83" s="4" t="str">
        <f>A82&amp;".RE"</f>
        <v>BXX_GDS1_GI1_DA_AW.RE</v>
      </c>
      <c r="R83" t="s">
        <v>14</v>
      </c>
      <c r="S83" s="4" t="str">
        <f t="shared" si="46"/>
        <v>Station BXX Gas Detector Warning Enable</v>
      </c>
      <c r="T83">
        <v>0</v>
      </c>
      <c r="U83">
        <v>0</v>
      </c>
    </row>
    <row r="84" spans="1:21" x14ac:dyDescent="0.25">
      <c r="A84" s="4" t="str">
        <f>LEFT(A82,12)&amp;"_PB_"&amp;RIGHT(A82,2)&amp;"_DE"</f>
        <v>BXX_GDS1_GI1_PB_AW_DE</v>
      </c>
      <c r="B84" s="4" t="str">
        <f t="shared" si="42"/>
        <v>BXX</v>
      </c>
      <c r="C84" s="4" t="str">
        <f>$C82&amp;" Dialer En"</f>
        <v>Station BXX Gas Detector Warning Dialer En</v>
      </c>
      <c r="D84" s="2">
        <f t="shared" ref="D84:D87" si="47">LEN(C84)</f>
        <v>42</v>
      </c>
      <c r="E84" t="s">
        <v>14</v>
      </c>
      <c r="F84" t="s">
        <v>13</v>
      </c>
      <c r="G84">
        <v>600</v>
      </c>
      <c r="H84" t="s">
        <v>13</v>
      </c>
      <c r="I84" t="s">
        <v>54</v>
      </c>
      <c r="J84" t="s">
        <v>60</v>
      </c>
      <c r="K84" t="s">
        <v>59</v>
      </c>
      <c r="L84" t="s">
        <v>56</v>
      </c>
      <c r="M84" s="5">
        <v>1</v>
      </c>
      <c r="N84" t="s">
        <v>57</v>
      </c>
      <c r="O84" s="4" t="str">
        <f t="shared" si="38"/>
        <v>BXX</v>
      </c>
      <c r="P84" t="s">
        <v>14</v>
      </c>
      <c r="Q84" s="4" t="str">
        <f>A82&amp;".DE"</f>
        <v>BXX_GDS1_GI1_DA_AW.DE</v>
      </c>
      <c r="R84" t="s">
        <v>14</v>
      </c>
      <c r="S84" s="4" t="str">
        <f t="shared" ref="S84:S87" si="48">C84</f>
        <v>Station BXX Gas Detector Warning Dialer En</v>
      </c>
      <c r="T84">
        <v>0</v>
      </c>
      <c r="U84">
        <v>0</v>
      </c>
    </row>
    <row r="85" spans="1:21" x14ac:dyDescent="0.25">
      <c r="A85" s="4" t="str">
        <f>LEFT(A82,12)&amp;"_PB_"&amp;RIGHT(A82,2)&amp;"_SR"</f>
        <v>BXX_GDS1_GI1_PB_AW_SR</v>
      </c>
      <c r="B85" s="4" t="str">
        <f t="shared" si="42"/>
        <v>BXX</v>
      </c>
      <c r="C85" s="4" t="str">
        <f>$C82&amp;" Super En"</f>
        <v>Station BXX Gas Detector Warning Super En</v>
      </c>
      <c r="D85" s="2">
        <f t="shared" si="47"/>
        <v>41</v>
      </c>
      <c r="E85" t="s">
        <v>14</v>
      </c>
      <c r="F85" t="s">
        <v>13</v>
      </c>
      <c r="G85">
        <v>600</v>
      </c>
      <c r="H85" t="s">
        <v>13</v>
      </c>
      <c r="I85" t="s">
        <v>54</v>
      </c>
      <c r="J85" t="s">
        <v>60</v>
      </c>
      <c r="K85" t="s">
        <v>59</v>
      </c>
      <c r="L85" t="s">
        <v>56</v>
      </c>
      <c r="M85" s="5">
        <v>1</v>
      </c>
      <c r="N85" t="s">
        <v>57</v>
      </c>
      <c r="O85" s="4" t="str">
        <f t="shared" si="38"/>
        <v>BXX</v>
      </c>
      <c r="P85" t="s">
        <v>14</v>
      </c>
      <c r="Q85" s="4" t="str">
        <f>A82&amp;".SR"</f>
        <v>BXX_GDS1_GI1_DA_AW.SR</v>
      </c>
      <c r="R85" t="s">
        <v>14</v>
      </c>
      <c r="S85" s="4" t="str">
        <f t="shared" si="48"/>
        <v>Station BXX Gas Detector Warning Super En</v>
      </c>
      <c r="T85">
        <v>0</v>
      </c>
      <c r="U85">
        <v>0</v>
      </c>
    </row>
    <row r="86" spans="1:21" x14ac:dyDescent="0.25">
      <c r="A86" s="4" t="str">
        <f>$A$3&amp;"_PSU1_001_DA_GA"</f>
        <v>BXX_PSU1_001_DA_GA</v>
      </c>
      <c r="B86" s="4" t="str">
        <f t="shared" si="42"/>
        <v>BXX</v>
      </c>
      <c r="C86" s="4" t="str">
        <f>$C$3&amp;" Main 24VDC Power Fault"</f>
        <v>Station BXX Main 24VDC Power Fault</v>
      </c>
      <c r="D86" s="2">
        <f t="shared" si="47"/>
        <v>34</v>
      </c>
      <c r="E86" t="s">
        <v>14</v>
      </c>
      <c r="F86" t="s">
        <v>14</v>
      </c>
      <c r="G86">
        <v>0</v>
      </c>
      <c r="H86" t="s">
        <v>13</v>
      </c>
      <c r="I86" t="s">
        <v>54</v>
      </c>
      <c r="J86" t="s">
        <v>62</v>
      </c>
      <c r="K86" t="s">
        <v>119</v>
      </c>
      <c r="L86" t="s">
        <v>61</v>
      </c>
      <c r="M86" s="5">
        <v>48</v>
      </c>
      <c r="N86" t="s">
        <v>57</v>
      </c>
      <c r="O86" s="4" t="str">
        <f t="shared" si="38"/>
        <v>BXX</v>
      </c>
      <c r="P86" t="s">
        <v>14</v>
      </c>
      <c r="Q86" s="4" t="str">
        <f>A86&amp;".eng"</f>
        <v>BXX_PSU1_001_DA_GA.eng</v>
      </c>
      <c r="R86" t="s">
        <v>14</v>
      </c>
      <c r="S86" s="4" t="str">
        <f t="shared" si="48"/>
        <v>Station BXX Main 24VDC Power Fault</v>
      </c>
      <c r="T86">
        <v>0</v>
      </c>
      <c r="U86">
        <v>0</v>
      </c>
    </row>
    <row r="87" spans="1:21" x14ac:dyDescent="0.25">
      <c r="A87" s="4" t="str">
        <f>LEFT(A86,12)&amp;"_PB_"&amp;RIGHT(A86,2)&amp;"_RE"</f>
        <v>BXX_PSU1_001_PB_GA_RE</v>
      </c>
      <c r="B87" s="4" t="str">
        <f t="shared" si="42"/>
        <v>BXX</v>
      </c>
      <c r="C87" s="4" t="str">
        <f>C86 &amp;" Enable"</f>
        <v>Station BXX Main 24VDC Power Fault Enable</v>
      </c>
      <c r="D87" s="2">
        <f t="shared" si="47"/>
        <v>41</v>
      </c>
      <c r="E87" t="s">
        <v>14</v>
      </c>
      <c r="F87" t="s">
        <v>13</v>
      </c>
      <c r="G87">
        <v>600</v>
      </c>
      <c r="H87" t="s">
        <v>13</v>
      </c>
      <c r="I87" t="s">
        <v>54</v>
      </c>
      <c r="J87" t="s">
        <v>60</v>
      </c>
      <c r="K87" t="s">
        <v>59</v>
      </c>
      <c r="L87" t="s">
        <v>56</v>
      </c>
      <c r="M87" s="5">
        <v>1</v>
      </c>
      <c r="N87" t="s">
        <v>57</v>
      </c>
      <c r="O87" s="4" t="str">
        <f t="shared" si="38"/>
        <v>BXX</v>
      </c>
      <c r="P87" t="s">
        <v>14</v>
      </c>
      <c r="Q87" s="4" t="str">
        <f>A86&amp;".RE"</f>
        <v>BXX_PSU1_001_DA_GA.RE</v>
      </c>
      <c r="R87" t="s">
        <v>14</v>
      </c>
      <c r="S87" s="4" t="str">
        <f t="shared" si="48"/>
        <v>Station BXX Main 24VDC Power Fault Enable</v>
      </c>
      <c r="T87">
        <v>0</v>
      </c>
      <c r="U87">
        <v>0</v>
      </c>
    </row>
    <row r="88" spans="1:21" x14ac:dyDescent="0.25">
      <c r="A88" s="4" t="str">
        <f>LEFT(A86,12)&amp;"_PB_"&amp;RIGHT(A86,2)&amp;"_DE"</f>
        <v>BXX_PSU1_001_PB_GA_DE</v>
      </c>
      <c r="B88" s="4" t="str">
        <f t="shared" si="42"/>
        <v>BXX</v>
      </c>
      <c r="C88" s="4" t="str">
        <f>$C86&amp;" Dialer En"</f>
        <v>Station BXX Main 24VDC Power Fault Dialer En</v>
      </c>
      <c r="D88" s="2">
        <f t="shared" ref="D88:D91" si="49">LEN(C88)</f>
        <v>44</v>
      </c>
      <c r="E88" t="s">
        <v>14</v>
      </c>
      <c r="F88" t="s">
        <v>13</v>
      </c>
      <c r="G88">
        <v>600</v>
      </c>
      <c r="H88" t="s">
        <v>13</v>
      </c>
      <c r="I88" t="s">
        <v>54</v>
      </c>
      <c r="J88" t="s">
        <v>60</v>
      </c>
      <c r="K88" t="s">
        <v>59</v>
      </c>
      <c r="L88" t="s">
        <v>56</v>
      </c>
      <c r="M88" s="5">
        <v>1</v>
      </c>
      <c r="N88" t="s">
        <v>57</v>
      </c>
      <c r="O88" s="4" t="str">
        <f t="shared" si="38"/>
        <v>BXX</v>
      </c>
      <c r="P88" t="s">
        <v>14</v>
      </c>
      <c r="Q88" s="4" t="str">
        <f>A86&amp;".DE"</f>
        <v>BXX_PSU1_001_DA_GA.DE</v>
      </c>
      <c r="R88" t="s">
        <v>14</v>
      </c>
      <c r="S88" s="4" t="str">
        <f t="shared" ref="S88:S91" si="50">C88</f>
        <v>Station BXX Main 24VDC Power Fault Dialer En</v>
      </c>
      <c r="T88">
        <v>0</v>
      </c>
      <c r="U88">
        <v>0</v>
      </c>
    </row>
    <row r="89" spans="1:21" x14ac:dyDescent="0.25">
      <c r="A89" s="4" t="str">
        <f>LEFT(A86,12)&amp;"_PB_"&amp;RIGHT(A86,2)&amp;"_SR"</f>
        <v>BXX_PSU1_001_PB_GA_SR</v>
      </c>
      <c r="B89" s="4" t="str">
        <f t="shared" si="42"/>
        <v>BXX</v>
      </c>
      <c r="C89" s="4" t="str">
        <f>$C86&amp;" Super En"</f>
        <v>Station BXX Main 24VDC Power Fault Super En</v>
      </c>
      <c r="D89" s="2">
        <f t="shared" si="49"/>
        <v>43</v>
      </c>
      <c r="E89" t="s">
        <v>14</v>
      </c>
      <c r="F89" t="s">
        <v>13</v>
      </c>
      <c r="G89">
        <v>600</v>
      </c>
      <c r="H89" t="s">
        <v>13</v>
      </c>
      <c r="I89" t="s">
        <v>54</v>
      </c>
      <c r="J89" t="s">
        <v>60</v>
      </c>
      <c r="K89" t="s">
        <v>59</v>
      </c>
      <c r="L89" t="s">
        <v>56</v>
      </c>
      <c r="M89" s="5">
        <v>1</v>
      </c>
      <c r="N89" t="s">
        <v>57</v>
      </c>
      <c r="O89" s="4" t="str">
        <f t="shared" si="38"/>
        <v>BXX</v>
      </c>
      <c r="P89" t="s">
        <v>14</v>
      </c>
      <c r="Q89" s="4" t="str">
        <f>A86&amp;".SR"</f>
        <v>BXX_PSU1_001_DA_GA.SR</v>
      </c>
      <c r="R89" t="s">
        <v>14</v>
      </c>
      <c r="S89" s="4" t="str">
        <f t="shared" si="50"/>
        <v>Station BXX Main 24VDC Power Fault Super En</v>
      </c>
      <c r="T89">
        <v>0</v>
      </c>
      <c r="U89">
        <v>0</v>
      </c>
    </row>
    <row r="90" spans="1:21" x14ac:dyDescent="0.25">
      <c r="A90" s="4" t="str">
        <f>$A$3&amp;"_BLS1_CP1_DA_GA"</f>
        <v>BXX_BLS1_CP1_DA_GA</v>
      </c>
      <c r="B90" s="4" t="str">
        <f t="shared" si="42"/>
        <v>BXX</v>
      </c>
      <c r="C90" s="4" t="str">
        <f>$C$3&amp;" Backup 24VDC Power Fault"</f>
        <v>Station BXX Backup 24VDC Power Fault</v>
      </c>
      <c r="D90" s="2">
        <f t="shared" si="49"/>
        <v>36</v>
      </c>
      <c r="E90" t="s">
        <v>14</v>
      </c>
      <c r="F90" t="s">
        <v>14</v>
      </c>
      <c r="G90">
        <v>0</v>
      </c>
      <c r="H90" t="s">
        <v>13</v>
      </c>
      <c r="I90" t="s">
        <v>54</v>
      </c>
      <c r="J90" t="s">
        <v>62</v>
      </c>
      <c r="K90" t="s">
        <v>119</v>
      </c>
      <c r="L90" t="s">
        <v>61</v>
      </c>
      <c r="M90" s="5">
        <v>48</v>
      </c>
      <c r="N90" t="s">
        <v>57</v>
      </c>
      <c r="O90" s="4" t="str">
        <f t="shared" si="38"/>
        <v>BXX</v>
      </c>
      <c r="P90" t="s">
        <v>14</v>
      </c>
      <c r="Q90" s="4" t="str">
        <f>A90&amp;".eng"</f>
        <v>BXX_BLS1_CP1_DA_GA.eng</v>
      </c>
      <c r="R90" t="s">
        <v>14</v>
      </c>
      <c r="S90" s="4" t="str">
        <f t="shared" si="50"/>
        <v>Station BXX Backup 24VDC Power Fault</v>
      </c>
      <c r="T90">
        <v>0</v>
      </c>
      <c r="U90">
        <v>0</v>
      </c>
    </row>
    <row r="91" spans="1:21" x14ac:dyDescent="0.25">
      <c r="A91" s="4" t="str">
        <f>LEFT(A90,12)&amp;"_PB_"&amp;RIGHT(A90,2)&amp;"_RE"</f>
        <v>BXX_BLS1_CP1_PB_GA_RE</v>
      </c>
      <c r="B91" s="4" t="str">
        <f t="shared" si="42"/>
        <v>BXX</v>
      </c>
      <c r="C91" s="4" t="str">
        <f>C90 &amp;" Enable"</f>
        <v>Station BXX Backup 24VDC Power Fault Enable</v>
      </c>
      <c r="D91" s="2">
        <f t="shared" si="49"/>
        <v>43</v>
      </c>
      <c r="E91" t="s">
        <v>14</v>
      </c>
      <c r="F91" t="s">
        <v>13</v>
      </c>
      <c r="G91">
        <v>600</v>
      </c>
      <c r="H91" t="s">
        <v>13</v>
      </c>
      <c r="I91" t="s">
        <v>54</v>
      </c>
      <c r="J91" t="s">
        <v>60</v>
      </c>
      <c r="K91" t="s">
        <v>59</v>
      </c>
      <c r="L91" t="s">
        <v>56</v>
      </c>
      <c r="M91" s="5">
        <v>1</v>
      </c>
      <c r="N91" t="s">
        <v>57</v>
      </c>
      <c r="O91" s="4" t="str">
        <f t="shared" si="38"/>
        <v>BXX</v>
      </c>
      <c r="P91" t="s">
        <v>14</v>
      </c>
      <c r="Q91" s="4" t="str">
        <f>A90&amp;".RE"</f>
        <v>BXX_BLS1_CP1_DA_GA.RE</v>
      </c>
      <c r="R91" t="s">
        <v>14</v>
      </c>
      <c r="S91" s="4" t="str">
        <f t="shared" si="50"/>
        <v>Station BXX Backup 24VDC Power Fault Enable</v>
      </c>
      <c r="T91">
        <v>0</v>
      </c>
      <c r="U91">
        <v>0</v>
      </c>
    </row>
    <row r="92" spans="1:21" x14ac:dyDescent="0.25">
      <c r="A92" s="4" t="str">
        <f>LEFT(A90,12)&amp;"_PB_"&amp;RIGHT(A90,2)&amp;"_DE"</f>
        <v>BXX_BLS1_CP1_PB_GA_DE</v>
      </c>
      <c r="B92" s="4" t="str">
        <f t="shared" si="42"/>
        <v>BXX</v>
      </c>
      <c r="C92" s="4" t="str">
        <f>$C90&amp;" Dialer En"</f>
        <v>Station BXX Backup 24VDC Power Fault Dialer En</v>
      </c>
      <c r="D92" s="2">
        <f t="shared" ref="D92:D95" si="51">LEN(C92)</f>
        <v>46</v>
      </c>
      <c r="E92" t="s">
        <v>14</v>
      </c>
      <c r="F92" t="s">
        <v>13</v>
      </c>
      <c r="G92">
        <v>600</v>
      </c>
      <c r="H92" t="s">
        <v>13</v>
      </c>
      <c r="I92" t="s">
        <v>54</v>
      </c>
      <c r="J92" t="s">
        <v>60</v>
      </c>
      <c r="K92" t="s">
        <v>59</v>
      </c>
      <c r="L92" t="s">
        <v>56</v>
      </c>
      <c r="M92" s="5">
        <v>1</v>
      </c>
      <c r="N92" t="s">
        <v>57</v>
      </c>
      <c r="O92" s="4" t="str">
        <f t="shared" si="38"/>
        <v>BXX</v>
      </c>
      <c r="P92" t="s">
        <v>14</v>
      </c>
      <c r="Q92" s="4" t="str">
        <f>A90&amp;".DE"</f>
        <v>BXX_BLS1_CP1_DA_GA.DE</v>
      </c>
      <c r="R92" t="s">
        <v>14</v>
      </c>
      <c r="S92" s="4" t="str">
        <f t="shared" ref="S92:S95" si="52">C92</f>
        <v>Station BXX Backup 24VDC Power Fault Dialer En</v>
      </c>
      <c r="T92">
        <v>0</v>
      </c>
      <c r="U92">
        <v>0</v>
      </c>
    </row>
    <row r="93" spans="1:21" x14ac:dyDescent="0.25">
      <c r="A93" s="4" t="str">
        <f>LEFT(A90,12)&amp;"_PB_"&amp;RIGHT(A90,2)&amp;"_SR"</f>
        <v>BXX_BLS1_CP1_PB_GA_SR</v>
      </c>
      <c r="B93" s="4" t="str">
        <f t="shared" si="42"/>
        <v>BXX</v>
      </c>
      <c r="C93" s="4" t="str">
        <f>$C90&amp;" Super En"</f>
        <v>Station BXX Backup 24VDC Power Fault Super En</v>
      </c>
      <c r="D93" s="2">
        <f t="shared" si="51"/>
        <v>45</v>
      </c>
      <c r="E93" t="s">
        <v>14</v>
      </c>
      <c r="F93" t="s">
        <v>13</v>
      </c>
      <c r="G93">
        <v>600</v>
      </c>
      <c r="H93" t="s">
        <v>13</v>
      </c>
      <c r="I93" t="s">
        <v>54</v>
      </c>
      <c r="J93" t="s">
        <v>60</v>
      </c>
      <c r="K93" t="s">
        <v>59</v>
      </c>
      <c r="L93" t="s">
        <v>56</v>
      </c>
      <c r="M93" s="5">
        <v>1</v>
      </c>
      <c r="N93" t="s">
        <v>57</v>
      </c>
      <c r="O93" s="4" t="str">
        <f t="shared" si="38"/>
        <v>BXX</v>
      </c>
      <c r="P93" t="s">
        <v>14</v>
      </c>
      <c r="Q93" s="4" t="str">
        <f>A90&amp;".SR"</f>
        <v>BXX_BLS1_CP1_DA_GA.SR</v>
      </c>
      <c r="R93" t="s">
        <v>14</v>
      </c>
      <c r="S93" s="4" t="str">
        <f t="shared" si="52"/>
        <v>Station BXX Backup 24VDC Power Fault Super En</v>
      </c>
      <c r="T93">
        <v>0</v>
      </c>
      <c r="U93">
        <v>0</v>
      </c>
    </row>
    <row r="94" spans="1:21" x14ac:dyDescent="0.25">
      <c r="A94" s="4" t="str">
        <f>$A$3&amp;"_STN1_EY1_DA_SS"</f>
        <v>BXX_STN1_EY1_DA_SS</v>
      </c>
      <c r="B94" s="4" t="str">
        <f t="shared" si="42"/>
        <v>BXX</v>
      </c>
      <c r="C94" s="4" t="str">
        <f>$C$3&amp;" Eyewash Station Active"</f>
        <v>Station BXX Eyewash Station Active</v>
      </c>
      <c r="D94" s="2">
        <f t="shared" si="51"/>
        <v>34</v>
      </c>
      <c r="E94" t="s">
        <v>14</v>
      </c>
      <c r="F94" t="s">
        <v>14</v>
      </c>
      <c r="G94">
        <v>0</v>
      </c>
      <c r="H94" t="s">
        <v>13</v>
      </c>
      <c r="I94" t="s">
        <v>54</v>
      </c>
      <c r="J94" t="s">
        <v>62</v>
      </c>
      <c r="K94" t="s">
        <v>119</v>
      </c>
      <c r="L94" t="s">
        <v>61</v>
      </c>
      <c r="M94" s="5">
        <v>9</v>
      </c>
      <c r="N94" t="s">
        <v>57</v>
      </c>
      <c r="O94" s="4" t="str">
        <f t="shared" si="38"/>
        <v>BXX</v>
      </c>
      <c r="P94" t="s">
        <v>14</v>
      </c>
      <c r="Q94" s="4" t="str">
        <f>A94&amp;".eng"</f>
        <v>BXX_STN1_EY1_DA_SS.eng</v>
      </c>
      <c r="R94" t="s">
        <v>14</v>
      </c>
      <c r="S94" s="4" t="str">
        <f t="shared" si="52"/>
        <v>Station BXX Eyewash Station Active</v>
      </c>
      <c r="T94">
        <v>0</v>
      </c>
      <c r="U94">
        <v>0</v>
      </c>
    </row>
    <row r="95" spans="1:21" x14ac:dyDescent="0.25">
      <c r="A95" s="4" t="str">
        <f>LEFT(A94,12)&amp;"_PB_"&amp;RIGHT(A94,2)&amp;"_RE"</f>
        <v>BXX_STN1_EY1_PB_SS_RE</v>
      </c>
      <c r="B95" s="4" t="str">
        <f t="shared" si="42"/>
        <v>BXX</v>
      </c>
      <c r="C95" s="4" t="str">
        <f>C94 &amp;" Enable"</f>
        <v>Station BXX Eyewash Station Active Enable</v>
      </c>
      <c r="D95" s="2">
        <f t="shared" si="51"/>
        <v>41</v>
      </c>
      <c r="E95" t="s">
        <v>14</v>
      </c>
      <c r="F95" t="s">
        <v>13</v>
      </c>
      <c r="G95">
        <v>600</v>
      </c>
      <c r="H95" t="s">
        <v>13</v>
      </c>
      <c r="I95" t="s">
        <v>54</v>
      </c>
      <c r="J95" t="s">
        <v>60</v>
      </c>
      <c r="K95" t="s">
        <v>59</v>
      </c>
      <c r="L95" t="s">
        <v>56</v>
      </c>
      <c r="M95" s="5">
        <v>1</v>
      </c>
      <c r="N95" t="s">
        <v>57</v>
      </c>
      <c r="O95" s="4" t="str">
        <f t="shared" si="38"/>
        <v>BXX</v>
      </c>
      <c r="P95" t="s">
        <v>14</v>
      </c>
      <c r="Q95" s="4" t="str">
        <f>A94&amp;".RE"</f>
        <v>BXX_STN1_EY1_DA_SS.RE</v>
      </c>
      <c r="R95" t="s">
        <v>14</v>
      </c>
      <c r="S95" s="4" t="str">
        <f t="shared" si="52"/>
        <v>Station BXX Eyewash Station Active Enable</v>
      </c>
      <c r="T95">
        <v>0</v>
      </c>
      <c r="U95">
        <v>0</v>
      </c>
    </row>
    <row r="96" spans="1:21" x14ac:dyDescent="0.25">
      <c r="A96" s="4" t="str">
        <f>LEFT(A94,12)&amp;"_PB_"&amp;RIGHT(A94,2)&amp;"_DE"</f>
        <v>BXX_STN1_EY1_PB_SS_DE</v>
      </c>
      <c r="B96" s="4" t="str">
        <f t="shared" si="42"/>
        <v>BXX</v>
      </c>
      <c r="C96" s="4" t="str">
        <f>$C94&amp;" Dialer En"</f>
        <v>Station BXX Eyewash Station Active Dialer En</v>
      </c>
      <c r="D96" s="2">
        <f t="shared" ref="D96:D105" si="53">LEN(C96)</f>
        <v>44</v>
      </c>
      <c r="E96" t="s">
        <v>14</v>
      </c>
      <c r="F96" t="s">
        <v>13</v>
      </c>
      <c r="G96">
        <v>600</v>
      </c>
      <c r="H96" t="s">
        <v>13</v>
      </c>
      <c r="I96" t="s">
        <v>54</v>
      </c>
      <c r="J96" t="s">
        <v>60</v>
      </c>
      <c r="K96" t="s">
        <v>59</v>
      </c>
      <c r="L96" t="s">
        <v>56</v>
      </c>
      <c r="M96" s="5">
        <v>1</v>
      </c>
      <c r="N96" t="s">
        <v>57</v>
      </c>
      <c r="O96" s="4" t="str">
        <f t="shared" si="38"/>
        <v>BXX</v>
      </c>
      <c r="P96" t="s">
        <v>14</v>
      </c>
      <c r="Q96" s="4" t="str">
        <f>A94&amp;".DE"</f>
        <v>BXX_STN1_EY1_DA_SS.DE</v>
      </c>
      <c r="R96" t="s">
        <v>14</v>
      </c>
      <c r="S96" s="4" t="str">
        <f t="shared" ref="S96:S105" si="54">C96</f>
        <v>Station BXX Eyewash Station Active Dialer En</v>
      </c>
      <c r="T96">
        <v>0</v>
      </c>
      <c r="U96">
        <v>0</v>
      </c>
    </row>
    <row r="97" spans="1:21" x14ac:dyDescent="0.25">
      <c r="A97" s="4" t="str">
        <f>LEFT(A94,12)&amp;"_PB_"&amp;RIGHT(A94,2)&amp;"_SR"</f>
        <v>BXX_STN1_EY1_PB_SS_SR</v>
      </c>
      <c r="B97" s="4" t="str">
        <f t="shared" si="42"/>
        <v>BXX</v>
      </c>
      <c r="C97" s="4" t="str">
        <f>$C94&amp;" Super En"</f>
        <v>Station BXX Eyewash Station Active Super En</v>
      </c>
      <c r="D97" s="2">
        <f t="shared" si="53"/>
        <v>43</v>
      </c>
      <c r="E97" t="s">
        <v>14</v>
      </c>
      <c r="F97" t="s">
        <v>13</v>
      </c>
      <c r="G97">
        <v>600</v>
      </c>
      <c r="H97" t="s">
        <v>13</v>
      </c>
      <c r="I97" t="s">
        <v>54</v>
      </c>
      <c r="J97" t="s">
        <v>60</v>
      </c>
      <c r="K97" t="s">
        <v>59</v>
      </c>
      <c r="L97" t="s">
        <v>56</v>
      </c>
      <c r="M97" s="5">
        <v>1</v>
      </c>
      <c r="N97" t="s">
        <v>57</v>
      </c>
      <c r="O97" s="4" t="str">
        <f t="shared" si="38"/>
        <v>BXX</v>
      </c>
      <c r="P97" t="s">
        <v>14</v>
      </c>
      <c r="Q97" s="4" t="str">
        <f>A94&amp;".SR"</f>
        <v>BXX_STN1_EY1_DA_SS.SR</v>
      </c>
      <c r="R97" t="s">
        <v>14</v>
      </c>
      <c r="S97" s="4" t="str">
        <f t="shared" si="54"/>
        <v>Station BXX Eyewash Station Active Super En</v>
      </c>
      <c r="T97">
        <v>0</v>
      </c>
      <c r="U97">
        <v>0</v>
      </c>
    </row>
    <row r="98" spans="1:21" x14ac:dyDescent="0.25">
      <c r="A98" s="4" t="str">
        <f>$A$3&amp;"_UPS2_001_DA_GA"</f>
        <v>BXX_UPS2_001_DA_GA</v>
      </c>
      <c r="B98" s="4" t="str">
        <f t="shared" si="42"/>
        <v>BXX</v>
      </c>
      <c r="C98" s="4" t="str">
        <f>$C$3&amp;" Backup UPS Fault"</f>
        <v>Station BXX Backup UPS Fault</v>
      </c>
      <c r="D98" s="2">
        <f t="shared" si="53"/>
        <v>28</v>
      </c>
      <c r="E98" t="s">
        <v>14</v>
      </c>
      <c r="F98" t="s">
        <v>14</v>
      </c>
      <c r="G98">
        <v>0</v>
      </c>
      <c r="H98" t="s">
        <v>13</v>
      </c>
      <c r="I98" t="s">
        <v>54</v>
      </c>
      <c r="J98" t="s">
        <v>62</v>
      </c>
      <c r="K98" t="s">
        <v>119</v>
      </c>
      <c r="L98" t="s">
        <v>61</v>
      </c>
      <c r="M98" s="5">
        <v>20</v>
      </c>
      <c r="N98" t="s">
        <v>57</v>
      </c>
      <c r="O98" s="4" t="str">
        <f t="shared" si="38"/>
        <v>BXX</v>
      </c>
      <c r="P98" t="s">
        <v>14</v>
      </c>
      <c r="Q98" s="4" t="str">
        <f>A98&amp;".eng"</f>
        <v>BXX_UPS2_001_DA_GA.eng</v>
      </c>
      <c r="R98" t="s">
        <v>14</v>
      </c>
      <c r="S98" s="4" t="str">
        <f t="shared" si="54"/>
        <v>Station BXX Backup UPS Fault</v>
      </c>
      <c r="T98">
        <v>0</v>
      </c>
      <c r="U98">
        <v>0</v>
      </c>
    </row>
    <row r="99" spans="1:21" x14ac:dyDescent="0.25">
      <c r="A99" s="4" t="str">
        <f>LEFT(A98,12)&amp;"_PB_"&amp;RIGHT(A98,2)&amp;"_RE"</f>
        <v>BXX_UPS2_001_PB_GA_RE</v>
      </c>
      <c r="B99" s="4" t="str">
        <f t="shared" si="42"/>
        <v>BXX</v>
      </c>
      <c r="C99" s="4" t="str">
        <f>C98 &amp;" Enable"</f>
        <v>Station BXX Backup UPS Fault Enable</v>
      </c>
      <c r="D99" s="2">
        <f t="shared" si="53"/>
        <v>35</v>
      </c>
      <c r="E99" t="s">
        <v>14</v>
      </c>
      <c r="F99" t="s">
        <v>13</v>
      </c>
      <c r="G99">
        <v>600</v>
      </c>
      <c r="H99" t="s">
        <v>13</v>
      </c>
      <c r="I99" t="s">
        <v>54</v>
      </c>
      <c r="J99" t="s">
        <v>60</v>
      </c>
      <c r="K99" t="s">
        <v>59</v>
      </c>
      <c r="L99" t="s">
        <v>56</v>
      </c>
      <c r="M99" s="5">
        <v>1</v>
      </c>
      <c r="N99" t="s">
        <v>57</v>
      </c>
      <c r="O99" s="4" t="str">
        <f t="shared" si="38"/>
        <v>BXX</v>
      </c>
      <c r="P99" t="s">
        <v>14</v>
      </c>
      <c r="Q99" s="4" t="str">
        <f>A98&amp;".RE"</f>
        <v>BXX_UPS2_001_DA_GA.RE</v>
      </c>
      <c r="R99" t="s">
        <v>14</v>
      </c>
      <c r="S99" s="4" t="str">
        <f t="shared" si="54"/>
        <v>Station BXX Backup UPS Fault Enable</v>
      </c>
      <c r="T99">
        <v>0</v>
      </c>
      <c r="U99">
        <v>0</v>
      </c>
    </row>
    <row r="100" spans="1:21" x14ac:dyDescent="0.25">
      <c r="A100" s="4" t="str">
        <f>LEFT(A98,12)&amp;"_PB_"&amp;RIGHT(A98,2)&amp;"_DE"</f>
        <v>BXX_UPS2_001_PB_GA_DE</v>
      </c>
      <c r="B100" s="4" t="str">
        <f t="shared" si="42"/>
        <v>BXX</v>
      </c>
      <c r="C100" s="4" t="str">
        <f>$C98&amp;" Dialer En"</f>
        <v>Station BXX Backup UPS Fault Dialer En</v>
      </c>
      <c r="D100" s="2">
        <f t="shared" si="53"/>
        <v>38</v>
      </c>
      <c r="E100" t="s">
        <v>14</v>
      </c>
      <c r="F100" t="s">
        <v>13</v>
      </c>
      <c r="G100">
        <v>600</v>
      </c>
      <c r="H100" t="s">
        <v>13</v>
      </c>
      <c r="I100" t="s">
        <v>54</v>
      </c>
      <c r="J100" t="s">
        <v>60</v>
      </c>
      <c r="K100" t="s">
        <v>59</v>
      </c>
      <c r="L100" t="s">
        <v>56</v>
      </c>
      <c r="M100" s="5">
        <v>1</v>
      </c>
      <c r="N100" t="s">
        <v>57</v>
      </c>
      <c r="O100" s="4" t="str">
        <f t="shared" si="38"/>
        <v>BXX</v>
      </c>
      <c r="P100" t="s">
        <v>14</v>
      </c>
      <c r="Q100" s="4" t="str">
        <f>A98&amp;".DE"</f>
        <v>BXX_UPS2_001_DA_GA.DE</v>
      </c>
      <c r="R100" t="s">
        <v>14</v>
      </c>
      <c r="S100" s="4" t="str">
        <f t="shared" si="54"/>
        <v>Station BXX Backup UPS Fault Dialer En</v>
      </c>
      <c r="T100">
        <v>0</v>
      </c>
      <c r="U100">
        <v>0</v>
      </c>
    </row>
    <row r="101" spans="1:21" x14ac:dyDescent="0.25">
      <c r="A101" s="4" t="str">
        <f>LEFT(A98,12)&amp;"_PB_"&amp;RIGHT(A98,2)&amp;"_SR"</f>
        <v>BXX_UPS2_001_PB_GA_SR</v>
      </c>
      <c r="B101" s="4" t="str">
        <f t="shared" si="42"/>
        <v>BXX</v>
      </c>
      <c r="C101" s="4" t="str">
        <f>$C98&amp;" Super En"</f>
        <v>Station BXX Backup UPS Fault Super En</v>
      </c>
      <c r="D101" s="2">
        <f t="shared" si="53"/>
        <v>37</v>
      </c>
      <c r="E101" t="s">
        <v>14</v>
      </c>
      <c r="F101" t="s">
        <v>13</v>
      </c>
      <c r="G101">
        <v>600</v>
      </c>
      <c r="H101" t="s">
        <v>13</v>
      </c>
      <c r="I101" t="s">
        <v>54</v>
      </c>
      <c r="J101" t="s">
        <v>60</v>
      </c>
      <c r="K101" t="s">
        <v>59</v>
      </c>
      <c r="L101" t="s">
        <v>56</v>
      </c>
      <c r="M101" s="5">
        <v>1</v>
      </c>
      <c r="N101" t="s">
        <v>57</v>
      </c>
      <c r="O101" s="4" t="str">
        <f t="shared" si="38"/>
        <v>BXX</v>
      </c>
      <c r="P101" t="s">
        <v>14</v>
      </c>
      <c r="Q101" s="4" t="str">
        <f>A98&amp;".SR"</f>
        <v>BXX_UPS2_001_DA_GA.SR</v>
      </c>
      <c r="R101" t="s">
        <v>14</v>
      </c>
      <c r="S101" s="4" t="str">
        <f t="shared" si="54"/>
        <v>Station BXX Backup UPS Fault Super En</v>
      </c>
      <c r="T101">
        <v>0</v>
      </c>
      <c r="U101">
        <v>0</v>
      </c>
    </row>
    <row r="102" spans="1:21" x14ac:dyDescent="0.25">
      <c r="A102" s="4" t="str">
        <f>$A$3&amp;"_UPS2_BT1_DA_JL"</f>
        <v>BXX_UPS2_BT1_DA_JL</v>
      </c>
      <c r="B102" s="4" t="str">
        <f t="shared" si="42"/>
        <v>BXX</v>
      </c>
      <c r="C102" s="4" t="str">
        <f>$C$3&amp;" Backup UPS Low Battery"</f>
        <v>Station BXX Backup UPS Low Battery</v>
      </c>
      <c r="D102" s="2">
        <f t="shared" si="53"/>
        <v>34</v>
      </c>
      <c r="E102" t="s">
        <v>14</v>
      </c>
      <c r="F102" t="s">
        <v>14</v>
      </c>
      <c r="G102">
        <v>0</v>
      </c>
      <c r="H102" t="s">
        <v>13</v>
      </c>
      <c r="I102" t="s">
        <v>54</v>
      </c>
      <c r="J102" t="s">
        <v>62</v>
      </c>
      <c r="K102" t="s">
        <v>119</v>
      </c>
      <c r="L102" t="s">
        <v>61</v>
      </c>
      <c r="M102" s="5">
        <v>20</v>
      </c>
      <c r="N102" t="s">
        <v>57</v>
      </c>
      <c r="O102" s="4" t="str">
        <f t="shared" si="38"/>
        <v>BXX</v>
      </c>
      <c r="P102" t="s">
        <v>14</v>
      </c>
      <c r="Q102" s="4" t="str">
        <f>A102&amp;".eng"</f>
        <v>BXX_UPS2_BT1_DA_JL.eng</v>
      </c>
      <c r="R102" t="s">
        <v>14</v>
      </c>
      <c r="S102" s="4" t="str">
        <f t="shared" si="54"/>
        <v>Station BXX Backup UPS Low Battery</v>
      </c>
      <c r="T102">
        <v>0</v>
      </c>
      <c r="U102">
        <v>0</v>
      </c>
    </row>
    <row r="103" spans="1:21" x14ac:dyDescent="0.25">
      <c r="A103" s="4" t="str">
        <f>LEFT(A102,12)&amp;"_PB_"&amp;RIGHT(A102,2)&amp;"_RE"</f>
        <v>BXX_UPS2_BT1_PB_JL_RE</v>
      </c>
      <c r="B103" s="4" t="str">
        <f t="shared" si="42"/>
        <v>BXX</v>
      </c>
      <c r="C103" s="4" t="str">
        <f>C102 &amp;" Enable"</f>
        <v>Station BXX Backup UPS Low Battery Enable</v>
      </c>
      <c r="D103" s="2">
        <f t="shared" si="53"/>
        <v>41</v>
      </c>
      <c r="E103" t="s">
        <v>14</v>
      </c>
      <c r="F103" t="s">
        <v>13</v>
      </c>
      <c r="G103">
        <v>600</v>
      </c>
      <c r="H103" t="s">
        <v>13</v>
      </c>
      <c r="I103" t="s">
        <v>54</v>
      </c>
      <c r="J103" t="s">
        <v>60</v>
      </c>
      <c r="K103" t="s">
        <v>59</v>
      </c>
      <c r="L103" t="s">
        <v>56</v>
      </c>
      <c r="M103" s="5">
        <v>1</v>
      </c>
      <c r="N103" t="s">
        <v>57</v>
      </c>
      <c r="O103" s="4" t="str">
        <f t="shared" ref="O103:O109" si="55">$O$6</f>
        <v>BXX</v>
      </c>
      <c r="P103" t="s">
        <v>14</v>
      </c>
      <c r="Q103" s="4" t="str">
        <f>A102&amp;".RE"</f>
        <v>BXX_UPS2_BT1_DA_JL.RE</v>
      </c>
      <c r="R103" t="s">
        <v>14</v>
      </c>
      <c r="S103" s="4" t="str">
        <f t="shared" si="54"/>
        <v>Station BXX Backup UPS Low Battery Enable</v>
      </c>
      <c r="T103">
        <v>0</v>
      </c>
      <c r="U103">
        <v>0</v>
      </c>
    </row>
    <row r="104" spans="1:21" x14ac:dyDescent="0.25">
      <c r="A104" s="4" t="str">
        <f>LEFT(A102,12)&amp;"_PB_"&amp;RIGHT(A102,2)&amp;"_DE"</f>
        <v>BXX_UPS2_BT1_PB_JL_DE</v>
      </c>
      <c r="B104" s="4" t="str">
        <f t="shared" si="42"/>
        <v>BXX</v>
      </c>
      <c r="C104" s="4" t="str">
        <f>$C102&amp;" Dialer En"</f>
        <v>Station BXX Backup UPS Low Battery Dialer En</v>
      </c>
      <c r="D104" s="2">
        <f t="shared" si="53"/>
        <v>44</v>
      </c>
      <c r="E104" t="s">
        <v>14</v>
      </c>
      <c r="F104" t="s">
        <v>13</v>
      </c>
      <c r="G104">
        <v>600</v>
      </c>
      <c r="H104" t="s">
        <v>13</v>
      </c>
      <c r="I104" t="s">
        <v>54</v>
      </c>
      <c r="J104" t="s">
        <v>60</v>
      </c>
      <c r="K104" t="s">
        <v>59</v>
      </c>
      <c r="L104" t="s">
        <v>56</v>
      </c>
      <c r="M104" s="5">
        <v>1</v>
      </c>
      <c r="N104" t="s">
        <v>57</v>
      </c>
      <c r="O104" s="4" t="str">
        <f t="shared" si="55"/>
        <v>BXX</v>
      </c>
      <c r="P104" t="s">
        <v>14</v>
      </c>
      <c r="Q104" s="4" t="str">
        <f>A102&amp;".DE"</f>
        <v>BXX_UPS2_BT1_DA_JL.DE</v>
      </c>
      <c r="R104" t="s">
        <v>14</v>
      </c>
      <c r="S104" s="4" t="str">
        <f t="shared" si="54"/>
        <v>Station BXX Backup UPS Low Battery Dialer En</v>
      </c>
      <c r="T104">
        <v>0</v>
      </c>
      <c r="U104">
        <v>0</v>
      </c>
    </row>
    <row r="105" spans="1:21" x14ac:dyDescent="0.25">
      <c r="A105" s="4" t="str">
        <f>LEFT(A102,12)&amp;"_PB_"&amp;RIGHT(A102,2)&amp;"_SR"</f>
        <v>BXX_UPS2_BT1_PB_JL_SR</v>
      </c>
      <c r="B105" s="4" t="str">
        <f t="shared" si="42"/>
        <v>BXX</v>
      </c>
      <c r="C105" s="4" t="str">
        <f>$C102&amp;" Super En"</f>
        <v>Station BXX Backup UPS Low Battery Super En</v>
      </c>
      <c r="D105" s="2">
        <f t="shared" si="53"/>
        <v>43</v>
      </c>
      <c r="E105" t="s">
        <v>14</v>
      </c>
      <c r="F105" t="s">
        <v>13</v>
      </c>
      <c r="G105">
        <v>600</v>
      </c>
      <c r="H105" t="s">
        <v>13</v>
      </c>
      <c r="I105" t="s">
        <v>54</v>
      </c>
      <c r="J105" t="s">
        <v>60</v>
      </c>
      <c r="K105" t="s">
        <v>59</v>
      </c>
      <c r="L105" t="s">
        <v>56</v>
      </c>
      <c r="M105" s="5">
        <v>1</v>
      </c>
      <c r="N105" t="s">
        <v>57</v>
      </c>
      <c r="O105" s="4" t="str">
        <f t="shared" si="55"/>
        <v>BXX</v>
      </c>
      <c r="P105" t="s">
        <v>14</v>
      </c>
      <c r="Q105" s="4" t="str">
        <f>A102&amp;".SR"</f>
        <v>BXX_UPS2_BT1_DA_JL.SR</v>
      </c>
      <c r="R105" t="s">
        <v>14</v>
      </c>
      <c r="S105" s="4" t="str">
        <f t="shared" si="54"/>
        <v>Station BXX Backup UPS Low Battery Super En</v>
      </c>
      <c r="T105">
        <v>0</v>
      </c>
      <c r="U105">
        <v>0</v>
      </c>
    </row>
    <row r="106" spans="1:21" x14ac:dyDescent="0.25">
      <c r="A106" s="4" t="str">
        <f>$A$3&amp;"_GEN1_JI1_DA_CD"</f>
        <v>BXX_GEN1_JI1_DA_CD</v>
      </c>
      <c r="B106" s="4" t="str">
        <f t="shared" si="42"/>
        <v>BXX</v>
      </c>
      <c r="C106" s="4" t="str">
        <f>$C$3&amp;" Generator Breaker Not Closed"</f>
        <v>Station BXX Generator Breaker Not Closed</v>
      </c>
      <c r="D106" s="2">
        <f t="shared" ref="D106:D111" si="56">LEN(C106)</f>
        <v>40</v>
      </c>
      <c r="E106" t="s">
        <v>14</v>
      </c>
      <c r="F106" t="s">
        <v>14</v>
      </c>
      <c r="G106">
        <v>0</v>
      </c>
      <c r="H106" t="s">
        <v>13</v>
      </c>
      <c r="I106" t="s">
        <v>54</v>
      </c>
      <c r="J106" t="s">
        <v>62</v>
      </c>
      <c r="K106" t="s">
        <v>119</v>
      </c>
      <c r="L106" t="s">
        <v>61</v>
      </c>
      <c r="M106" s="5">
        <v>20</v>
      </c>
      <c r="N106" t="s">
        <v>57</v>
      </c>
      <c r="O106" s="4" t="str">
        <f t="shared" si="55"/>
        <v>BXX</v>
      </c>
      <c r="P106" t="s">
        <v>14</v>
      </c>
      <c r="Q106" s="4" t="str">
        <f>A106&amp;".eng"</f>
        <v>BXX_GEN1_JI1_DA_CD.eng</v>
      </c>
      <c r="R106" t="s">
        <v>14</v>
      </c>
      <c r="S106" s="4" t="str">
        <f t="shared" ref="S106:S109" si="57">C106</f>
        <v>Station BXX Generator Breaker Not Closed</v>
      </c>
      <c r="T106">
        <v>0</v>
      </c>
      <c r="U106">
        <v>0</v>
      </c>
    </row>
    <row r="107" spans="1:21" x14ac:dyDescent="0.25">
      <c r="A107" s="4" t="str">
        <f>LEFT(A106,12)&amp;"_PB_"&amp;RIGHT(A106,2)&amp;"_RE"</f>
        <v>BXX_GEN1_JI1_PB_CD_RE</v>
      </c>
      <c r="B107" s="4" t="str">
        <f t="shared" si="42"/>
        <v>BXX</v>
      </c>
      <c r="C107" s="4" t="str">
        <f>C106 &amp;" Enable"</f>
        <v>Station BXX Generator Breaker Not Closed Enable</v>
      </c>
      <c r="D107" s="2">
        <f t="shared" si="56"/>
        <v>47</v>
      </c>
      <c r="E107" t="s">
        <v>14</v>
      </c>
      <c r="F107" t="s">
        <v>13</v>
      </c>
      <c r="G107">
        <v>600</v>
      </c>
      <c r="H107" t="s">
        <v>13</v>
      </c>
      <c r="I107" t="s">
        <v>54</v>
      </c>
      <c r="J107" t="s">
        <v>60</v>
      </c>
      <c r="K107" t="s">
        <v>59</v>
      </c>
      <c r="L107" t="s">
        <v>56</v>
      </c>
      <c r="M107" s="5">
        <v>1</v>
      </c>
      <c r="N107" t="s">
        <v>57</v>
      </c>
      <c r="O107" s="4" t="str">
        <f t="shared" si="55"/>
        <v>BXX</v>
      </c>
      <c r="P107" t="s">
        <v>14</v>
      </c>
      <c r="Q107" s="4" t="str">
        <f>A106&amp;".RE"</f>
        <v>BXX_GEN1_JI1_DA_CD.RE</v>
      </c>
      <c r="R107" t="s">
        <v>14</v>
      </c>
      <c r="S107" s="4" t="str">
        <f t="shared" si="57"/>
        <v>Station BXX Generator Breaker Not Closed Enable</v>
      </c>
      <c r="T107">
        <v>0</v>
      </c>
      <c r="U107">
        <v>0</v>
      </c>
    </row>
    <row r="108" spans="1:21" x14ac:dyDescent="0.25">
      <c r="A108" s="4" t="str">
        <f>LEFT(A106,12)&amp;"_PB_"&amp;RIGHT(A106,2)&amp;"_DE"</f>
        <v>BXX_GEN1_JI1_PB_CD_DE</v>
      </c>
      <c r="B108" s="4" t="str">
        <f t="shared" si="42"/>
        <v>BXX</v>
      </c>
      <c r="C108" s="4" t="str">
        <f>$C106&amp;" Dialer En"</f>
        <v>Station BXX Generator Breaker Not Closed Dialer En</v>
      </c>
      <c r="D108" s="2">
        <f t="shared" si="56"/>
        <v>50</v>
      </c>
      <c r="E108" t="s">
        <v>14</v>
      </c>
      <c r="F108" t="s">
        <v>13</v>
      </c>
      <c r="G108">
        <v>600</v>
      </c>
      <c r="H108" t="s">
        <v>13</v>
      </c>
      <c r="I108" t="s">
        <v>54</v>
      </c>
      <c r="J108" t="s">
        <v>60</v>
      </c>
      <c r="K108" t="s">
        <v>59</v>
      </c>
      <c r="L108" t="s">
        <v>56</v>
      </c>
      <c r="M108" s="5">
        <v>1</v>
      </c>
      <c r="N108" t="s">
        <v>57</v>
      </c>
      <c r="O108" s="4" t="str">
        <f t="shared" si="55"/>
        <v>BXX</v>
      </c>
      <c r="P108" t="s">
        <v>14</v>
      </c>
      <c r="Q108" s="4" t="str">
        <f>A106&amp;".DE"</f>
        <v>BXX_GEN1_JI1_DA_CD.DE</v>
      </c>
      <c r="R108" t="s">
        <v>14</v>
      </c>
      <c r="S108" s="4" t="str">
        <f t="shared" si="57"/>
        <v>Station BXX Generator Breaker Not Closed Dialer En</v>
      </c>
      <c r="T108">
        <v>0</v>
      </c>
      <c r="U108">
        <v>0</v>
      </c>
    </row>
    <row r="109" spans="1:21" x14ac:dyDescent="0.25">
      <c r="A109" s="4" t="str">
        <f>LEFT(A106,12)&amp;"_PB_"&amp;RIGHT(A106,2)&amp;"_SR"</f>
        <v>BXX_GEN1_JI1_PB_CD_SR</v>
      </c>
      <c r="B109" s="4" t="str">
        <f t="shared" si="42"/>
        <v>BXX</v>
      </c>
      <c r="C109" s="4" t="str">
        <f>$C106&amp;" Super En"</f>
        <v>Station BXX Generator Breaker Not Closed Super En</v>
      </c>
      <c r="D109" s="2">
        <f t="shared" si="56"/>
        <v>49</v>
      </c>
      <c r="E109" t="s">
        <v>14</v>
      </c>
      <c r="F109" t="s">
        <v>13</v>
      </c>
      <c r="G109">
        <v>600</v>
      </c>
      <c r="H109" t="s">
        <v>13</v>
      </c>
      <c r="I109" t="s">
        <v>54</v>
      </c>
      <c r="J109" t="s">
        <v>60</v>
      </c>
      <c r="K109" t="s">
        <v>59</v>
      </c>
      <c r="L109" t="s">
        <v>56</v>
      </c>
      <c r="M109" s="5">
        <v>1</v>
      </c>
      <c r="N109" t="s">
        <v>57</v>
      </c>
      <c r="O109" s="4" t="str">
        <f t="shared" si="55"/>
        <v>BXX</v>
      </c>
      <c r="P109" t="s">
        <v>14</v>
      </c>
      <c r="Q109" s="4" t="str">
        <f>A106&amp;".SR"</f>
        <v>BXX_GEN1_JI1_DA_CD.SR</v>
      </c>
      <c r="R109" t="s">
        <v>14</v>
      </c>
      <c r="S109" s="4" t="str">
        <f t="shared" si="57"/>
        <v>Station BXX Generator Breaker Not Closed Super En</v>
      </c>
      <c r="T109">
        <v>0</v>
      </c>
      <c r="U109">
        <v>0</v>
      </c>
    </row>
    <row r="110" spans="1:21" x14ac:dyDescent="0.25">
      <c r="A110" t="s">
        <v>130</v>
      </c>
      <c r="B110" t="s">
        <v>16</v>
      </c>
      <c r="C110" t="s">
        <v>17</v>
      </c>
      <c r="D110" s="2">
        <f t="shared" si="56"/>
        <v>7</v>
      </c>
      <c r="E110" t="s">
        <v>39</v>
      </c>
      <c r="F110" t="s">
        <v>18</v>
      </c>
      <c r="G110" t="s">
        <v>19</v>
      </c>
      <c r="H110" t="s">
        <v>40</v>
      </c>
      <c r="I110" t="s">
        <v>124</v>
      </c>
      <c r="J110" t="s">
        <v>125</v>
      </c>
      <c r="K110" t="s">
        <v>47</v>
      </c>
      <c r="L110" t="s">
        <v>48</v>
      </c>
      <c r="M110" t="s">
        <v>49</v>
      </c>
      <c r="N110" t="s">
        <v>50</v>
      </c>
      <c r="O110" t="s">
        <v>51</v>
      </c>
      <c r="P110" t="s">
        <v>53</v>
      </c>
    </row>
    <row r="111" spans="1:21" x14ac:dyDescent="0.25">
      <c r="A111" s="4" t="str">
        <f>LEFT($A$6,12)&amp;"_PB_"&amp;RIGHT($A$6,2)&amp;"_RN"</f>
        <v>BXX_OVF1_FI1_PB_EL_RN</v>
      </c>
      <c r="B111" s="4" t="str">
        <f t="shared" ref="B111" si="58">$A$3</f>
        <v>BXX</v>
      </c>
      <c r="C111" s="4" t="str">
        <f>$C$6 &amp;" Dis Reason"</f>
        <v>Station BXX Overflow Loss of Echo Dis Reason</v>
      </c>
      <c r="D111" s="2">
        <f t="shared" si="56"/>
        <v>44</v>
      </c>
      <c r="E111" t="s">
        <v>14</v>
      </c>
      <c r="F111" t="s">
        <v>14</v>
      </c>
      <c r="G111">
        <v>0</v>
      </c>
      <c r="H111" t="s">
        <v>13</v>
      </c>
      <c r="I111">
        <v>131</v>
      </c>
      <c r="J111" t="s">
        <v>131</v>
      </c>
      <c r="K111" s="5" t="s">
        <v>630</v>
      </c>
      <c r="L111" t="s">
        <v>13</v>
      </c>
      <c r="M111" s="4" t="str">
        <f t="shared" ref="M111:M136" si="59">A111</f>
        <v>BXX_OVF1_FI1_PB_EL_RN</v>
      </c>
      <c r="N111" t="s">
        <v>14</v>
      </c>
      <c r="O111" s="4" t="str">
        <f t="shared" ref="O111:O136" si="60">C111</f>
        <v>Station BXX Overflow Loss of Echo Dis Reason</v>
      </c>
      <c r="P111" s="5"/>
      <c r="Q111" s="5"/>
      <c r="R111" s="5"/>
      <c r="S111" s="5"/>
      <c r="T111">
        <v>0</v>
      </c>
      <c r="U111">
        <v>0</v>
      </c>
    </row>
    <row r="112" spans="1:21" x14ac:dyDescent="0.25">
      <c r="A112" s="4" t="str">
        <f>LEFT($A$10,12)&amp;"_PB_"&amp;RIGHT($A$10,2)&amp;"_RN"</f>
        <v>BXX_WW01_LI1_PB_EL_RN</v>
      </c>
      <c r="B112" s="4" t="str">
        <f t="shared" ref="B112:B136" si="61">$A$3</f>
        <v>BXX</v>
      </c>
      <c r="C112" s="4" t="str">
        <f>$C$10 &amp; " Dis Reason"</f>
        <v>Station BXX Wet Well 1 Loss of Echo Dis Reason</v>
      </c>
      <c r="D112" s="2">
        <f t="shared" ref="D112" si="62">LEN(C112)</f>
        <v>46</v>
      </c>
      <c r="E112" t="s">
        <v>14</v>
      </c>
      <c r="F112" t="s">
        <v>14</v>
      </c>
      <c r="G112">
        <v>0</v>
      </c>
      <c r="H112" t="s">
        <v>13</v>
      </c>
      <c r="I112">
        <v>131</v>
      </c>
      <c r="J112" t="s">
        <v>131</v>
      </c>
      <c r="K112" s="5" t="s">
        <v>630</v>
      </c>
      <c r="L112" t="s">
        <v>13</v>
      </c>
      <c r="M112" s="4" t="str">
        <f t="shared" si="59"/>
        <v>BXX_WW01_LI1_PB_EL_RN</v>
      </c>
      <c r="N112" t="s">
        <v>14</v>
      </c>
      <c r="O112" s="4" t="str">
        <f t="shared" si="60"/>
        <v>Station BXX Wet Well 1 Loss of Echo Dis Reason</v>
      </c>
    </row>
    <row r="113" spans="1:15" x14ac:dyDescent="0.25">
      <c r="A113" s="4" t="str">
        <f>LEFT($A$14,12)&amp;"_PB_"&amp;RIGHT($A$14,2)&amp;"_RN"</f>
        <v>BXX_WW01_LE1_PB_HH_RN</v>
      </c>
      <c r="B113" s="4" t="str">
        <f t="shared" si="61"/>
        <v>BXX</v>
      </c>
      <c r="C113" s="4" t="str">
        <f>$C$14 &amp; " Dis Reason"</f>
        <v>Station BXX Wet Well 1 High Level Float Dis Reason</v>
      </c>
      <c r="D113" s="2">
        <f t="shared" ref="D113" si="63">LEN(C113)</f>
        <v>50</v>
      </c>
      <c r="E113" t="s">
        <v>14</v>
      </c>
      <c r="F113" t="s">
        <v>14</v>
      </c>
      <c r="G113">
        <v>0</v>
      </c>
      <c r="H113" t="s">
        <v>13</v>
      </c>
      <c r="I113">
        <v>131</v>
      </c>
      <c r="J113" t="s">
        <v>131</v>
      </c>
      <c r="K113" s="5" t="s">
        <v>630</v>
      </c>
      <c r="L113" t="s">
        <v>13</v>
      </c>
      <c r="M113" s="4" t="str">
        <f t="shared" si="59"/>
        <v>BXX_WW01_LE1_PB_HH_RN</v>
      </c>
      <c r="N113" t="s">
        <v>14</v>
      </c>
      <c r="O113" s="4" t="str">
        <f t="shared" si="60"/>
        <v>Station BXX Wet Well 1 High Level Float Dis Reason</v>
      </c>
    </row>
    <row r="114" spans="1:15" x14ac:dyDescent="0.25">
      <c r="A114" s="4" t="str">
        <f>LEFT($A$18,12)&amp;"_PB_"&amp;RIGHT($A$18,2)&amp;"_RN"</f>
        <v>BXX_WW02_LI1_PB_EL_RN</v>
      </c>
      <c r="B114" s="4" t="str">
        <f t="shared" si="61"/>
        <v>BXX</v>
      </c>
      <c r="C114" s="4" t="str">
        <f>$C$18 &amp; " Dis Reason"</f>
        <v>Station BXX Wet Well 2 Loss of Echo Dis Reason</v>
      </c>
      <c r="D114" s="2">
        <f t="shared" ref="D114" si="64">LEN(C114)</f>
        <v>46</v>
      </c>
      <c r="E114" t="s">
        <v>14</v>
      </c>
      <c r="F114" t="s">
        <v>14</v>
      </c>
      <c r="G114">
        <v>0</v>
      </c>
      <c r="H114" t="s">
        <v>13</v>
      </c>
      <c r="I114">
        <v>131</v>
      </c>
      <c r="J114" t="s">
        <v>131</v>
      </c>
      <c r="K114" s="5" t="s">
        <v>630</v>
      </c>
      <c r="L114" t="s">
        <v>13</v>
      </c>
      <c r="M114" s="4" t="str">
        <f t="shared" si="59"/>
        <v>BXX_WW02_LI1_PB_EL_RN</v>
      </c>
      <c r="N114" t="s">
        <v>14</v>
      </c>
      <c r="O114" s="4" t="str">
        <f t="shared" si="60"/>
        <v>Station BXX Wet Well 2 Loss of Echo Dis Reason</v>
      </c>
    </row>
    <row r="115" spans="1:15" x14ac:dyDescent="0.25">
      <c r="A115" s="4" t="str">
        <f>LEFT($A$22,12)&amp;"_PB_"&amp;RIGHT($A$22,2)&amp;"_RN"</f>
        <v>BXX_WW02_LE1_PB_HH_RN</v>
      </c>
      <c r="B115" s="4" t="str">
        <f t="shared" si="61"/>
        <v>BXX</v>
      </c>
      <c r="C115" s="4" t="str">
        <f>$C$22 &amp; " Dis Reason"</f>
        <v>Station BXX Wet Well 2 High Level Float Dis Reason</v>
      </c>
      <c r="D115" s="2">
        <f t="shared" ref="D115" si="65">LEN(C115)</f>
        <v>50</v>
      </c>
      <c r="E115" t="s">
        <v>14</v>
      </c>
      <c r="F115" t="s">
        <v>14</v>
      </c>
      <c r="G115">
        <v>0</v>
      </c>
      <c r="H115" t="s">
        <v>13</v>
      </c>
      <c r="I115">
        <v>131</v>
      </c>
      <c r="J115" t="s">
        <v>131</v>
      </c>
      <c r="K115" s="5" t="s">
        <v>630</v>
      </c>
      <c r="L115" t="s">
        <v>13</v>
      </c>
      <c r="M115" s="4" t="str">
        <f t="shared" si="59"/>
        <v>BXX_WW02_LE1_PB_HH_RN</v>
      </c>
      <c r="N115" t="s">
        <v>14</v>
      </c>
      <c r="O115" s="4" t="str">
        <f t="shared" si="60"/>
        <v>Station BXX Wet Well 2 High Level Float Dis Reason</v>
      </c>
    </row>
    <row r="116" spans="1:15" x14ac:dyDescent="0.25">
      <c r="A116" s="4" t="str">
        <f>LEFT($A$26,12)&amp;"_PB_"&amp;RIGHT($A$26,2)&amp;"_RN"</f>
        <v>BXX_PSB1_CP1_PB_JR_RN</v>
      </c>
      <c r="B116" s="4" t="str">
        <f t="shared" si="61"/>
        <v>BXX</v>
      </c>
      <c r="C116" s="4" t="str">
        <f>$C$26 &amp; " Dis Reason"</f>
        <v>Station BXX Control Power Failure Dis Reason</v>
      </c>
      <c r="D116" s="2">
        <f t="shared" ref="D116" si="66">LEN(C116)</f>
        <v>44</v>
      </c>
      <c r="E116" t="s">
        <v>14</v>
      </c>
      <c r="F116" t="s">
        <v>14</v>
      </c>
      <c r="G116">
        <v>0</v>
      </c>
      <c r="H116" t="s">
        <v>13</v>
      </c>
      <c r="I116">
        <v>131</v>
      </c>
      <c r="J116" t="s">
        <v>131</v>
      </c>
      <c r="K116" s="5" t="s">
        <v>630</v>
      </c>
      <c r="L116" t="s">
        <v>13</v>
      </c>
      <c r="M116" s="4" t="str">
        <f t="shared" si="59"/>
        <v>BXX_PSB1_CP1_PB_JR_RN</v>
      </c>
      <c r="N116" t="s">
        <v>14</v>
      </c>
      <c r="O116" s="4" t="str">
        <f t="shared" si="60"/>
        <v>Station BXX Control Power Failure Dis Reason</v>
      </c>
    </row>
    <row r="117" spans="1:15" x14ac:dyDescent="0.25">
      <c r="A117" s="4" t="str">
        <f>LEFT($A$30,12)&amp;"_PB_"&amp;RIGHT($A$30,2)&amp;"_RN"</f>
        <v>BXX_UPS1_001_PB_GA_RN</v>
      </c>
      <c r="B117" s="4" t="str">
        <f t="shared" si="61"/>
        <v>BXX</v>
      </c>
      <c r="C117" s="4" t="str">
        <f>$C$30 &amp; " Dis Reason"</f>
        <v>Station BXX Main UPS Fault Dis Reason</v>
      </c>
      <c r="D117" s="2">
        <f t="shared" ref="D117" si="67">LEN(C117)</f>
        <v>37</v>
      </c>
      <c r="E117" t="s">
        <v>14</v>
      </c>
      <c r="F117" t="s">
        <v>14</v>
      </c>
      <c r="G117">
        <v>0</v>
      </c>
      <c r="H117" t="s">
        <v>13</v>
      </c>
      <c r="I117">
        <v>131</v>
      </c>
      <c r="J117" t="s">
        <v>131</v>
      </c>
      <c r="K117" s="5" t="s">
        <v>630</v>
      </c>
      <c r="L117" t="s">
        <v>13</v>
      </c>
      <c r="M117" s="4" t="str">
        <f t="shared" si="59"/>
        <v>BXX_UPS1_001_PB_GA_RN</v>
      </c>
      <c r="N117" t="s">
        <v>14</v>
      </c>
      <c r="O117" s="4" t="str">
        <f t="shared" si="60"/>
        <v>Station BXX Main UPS Fault Dis Reason</v>
      </c>
    </row>
    <row r="118" spans="1:15" x14ac:dyDescent="0.25">
      <c r="A118" s="4" t="str">
        <f>LEFT($A$34,12)&amp;"_PB_"&amp;RIGHT($A$34,2)&amp;"_RN"</f>
        <v>BXX_UPS1_BT1_PB_JL_RN</v>
      </c>
      <c r="B118" s="4" t="str">
        <f t="shared" si="61"/>
        <v>BXX</v>
      </c>
      <c r="C118" s="4" t="str">
        <f>$C$34 &amp; " Dis Reason"</f>
        <v>Station BXX Main UPS Low Battery Dis Reason</v>
      </c>
      <c r="D118" s="2">
        <f t="shared" ref="D118" si="68">LEN(C118)</f>
        <v>43</v>
      </c>
      <c r="E118" t="s">
        <v>14</v>
      </c>
      <c r="F118" t="s">
        <v>14</v>
      </c>
      <c r="G118">
        <v>0</v>
      </c>
      <c r="H118" t="s">
        <v>13</v>
      </c>
      <c r="I118">
        <v>131</v>
      </c>
      <c r="J118" t="s">
        <v>131</v>
      </c>
      <c r="K118" s="5" t="s">
        <v>630</v>
      </c>
      <c r="L118" t="s">
        <v>13</v>
      </c>
      <c r="M118" s="4" t="str">
        <f t="shared" si="59"/>
        <v>BXX_UPS1_BT1_PB_JL_RN</v>
      </c>
      <c r="N118" t="s">
        <v>14</v>
      </c>
      <c r="O118" s="4" t="str">
        <f t="shared" si="60"/>
        <v>Station BXX Main UPS Low Battery Dis Reason</v>
      </c>
    </row>
    <row r="119" spans="1:15" x14ac:dyDescent="0.25">
      <c r="A119" s="4" t="str">
        <f>LEFT($A$38,12)&amp;"_PB_"&amp;RIGHT($A$38,2)&amp;"_RN"</f>
        <v>BXX_PSB1_JI1_PB_GA_RN</v>
      </c>
      <c r="B119" s="4" t="str">
        <f t="shared" si="61"/>
        <v>BXX</v>
      </c>
      <c r="C119" s="4" t="str">
        <f>$C$38 &amp; " Dis Reason"</f>
        <v>Station BXX Phase Failure Dis Reason</v>
      </c>
      <c r="D119" s="2">
        <f t="shared" ref="D119" si="69">LEN(C119)</f>
        <v>36</v>
      </c>
      <c r="E119" t="s">
        <v>14</v>
      </c>
      <c r="F119" t="s">
        <v>14</v>
      </c>
      <c r="G119">
        <v>0</v>
      </c>
      <c r="H119" t="s">
        <v>13</v>
      </c>
      <c r="I119">
        <v>131</v>
      </c>
      <c r="J119" t="s">
        <v>131</v>
      </c>
      <c r="K119" s="5" t="s">
        <v>630</v>
      </c>
      <c r="L119" t="s">
        <v>13</v>
      </c>
      <c r="M119" s="4" t="str">
        <f t="shared" si="59"/>
        <v>BXX_PSB1_JI1_PB_GA_RN</v>
      </c>
      <c r="N119" t="s">
        <v>14</v>
      </c>
      <c r="O119" s="4" t="str">
        <f t="shared" si="60"/>
        <v>Station BXX Phase Failure Dis Reason</v>
      </c>
    </row>
    <row r="120" spans="1:15" x14ac:dyDescent="0.25">
      <c r="A120" s="4" t="str">
        <f>LEFT($A$42,12)&amp;"_PB_"&amp;RIGHT($A$42,2)&amp;"_RN"</f>
        <v>BXX_DDT1_LS1_PB_KA_RN</v>
      </c>
      <c r="B120" s="4" t="str">
        <f t="shared" si="61"/>
        <v>BXX</v>
      </c>
      <c r="C120" s="4" t="str">
        <f>$C$42 &amp; " Dis Reason"</f>
        <v>Station BXX Diesel Flood Dis Reason</v>
      </c>
      <c r="D120" s="2">
        <f t="shared" ref="D120" si="70">LEN(C120)</f>
        <v>35</v>
      </c>
      <c r="E120" t="s">
        <v>14</v>
      </c>
      <c r="F120" t="s">
        <v>14</v>
      </c>
      <c r="G120">
        <v>0</v>
      </c>
      <c r="H120" t="s">
        <v>13</v>
      </c>
      <c r="I120">
        <v>131</v>
      </c>
      <c r="J120" t="s">
        <v>131</v>
      </c>
      <c r="K120" s="5" t="s">
        <v>630</v>
      </c>
      <c r="L120" t="s">
        <v>13</v>
      </c>
      <c r="M120" s="4" t="str">
        <f t="shared" si="59"/>
        <v>BXX_DDT1_LS1_PB_KA_RN</v>
      </c>
      <c r="N120" t="s">
        <v>14</v>
      </c>
      <c r="O120" s="4" t="str">
        <f t="shared" si="60"/>
        <v>Station BXX Diesel Flood Dis Reason</v>
      </c>
    </row>
    <row r="121" spans="1:15" x14ac:dyDescent="0.25">
      <c r="A121" s="4" t="str">
        <f>LEFT($A$46,12)&amp;"_PB_"&amp;RIGHT($A$46,2)&amp;"_RN"</f>
        <v>BXX_DDV1_LS1_PB_KA_RN</v>
      </c>
      <c r="B121" s="4" t="str">
        <f t="shared" si="61"/>
        <v>BXX</v>
      </c>
      <c r="C121" s="4" t="str">
        <f>$C$46 &amp; " Dis Reason"</f>
        <v>Station BXX Diesel Tank Loss Vac Alarm Dis Reason</v>
      </c>
      <c r="D121" s="2">
        <f t="shared" ref="D121" si="71">LEN(C121)</f>
        <v>49</v>
      </c>
      <c r="E121" t="s">
        <v>14</v>
      </c>
      <c r="F121" t="s">
        <v>14</v>
      </c>
      <c r="G121">
        <v>0</v>
      </c>
      <c r="H121" t="s">
        <v>13</v>
      </c>
      <c r="I121">
        <v>131</v>
      </c>
      <c r="J121" t="s">
        <v>131</v>
      </c>
      <c r="K121" s="5" t="s">
        <v>630</v>
      </c>
      <c r="L121" t="s">
        <v>13</v>
      </c>
      <c r="M121" s="4" t="str">
        <f t="shared" ref="M121" si="72">A121</f>
        <v>BXX_DDV1_LS1_PB_KA_RN</v>
      </c>
      <c r="N121" t="s">
        <v>14</v>
      </c>
      <c r="O121" s="4" t="str">
        <f t="shared" ref="O121" si="73">C121</f>
        <v>Station BXX Diesel Tank Loss Vac Alarm Dis Reason</v>
      </c>
    </row>
    <row r="122" spans="1:15" x14ac:dyDescent="0.25">
      <c r="A122" s="4" t="str">
        <f>LEFT($A$50,12)&amp;"_PB_"&amp;RIGHT($A$50,2)&amp;"_RN"</f>
        <v>BXX_PSB1_JI1_PB_NF_RN</v>
      </c>
      <c r="B122" s="4" t="str">
        <f t="shared" si="61"/>
        <v>BXX</v>
      </c>
      <c r="C122" s="4" t="str">
        <f>$C$50 &amp; " Dis Reason"</f>
        <v>Station BXX Ground Fault Dis Reason</v>
      </c>
      <c r="D122" s="2">
        <f t="shared" ref="D122" si="74">LEN(C122)</f>
        <v>35</v>
      </c>
      <c r="E122" t="s">
        <v>14</v>
      </c>
      <c r="F122" t="s">
        <v>14</v>
      </c>
      <c r="G122">
        <v>0</v>
      </c>
      <c r="H122" t="s">
        <v>13</v>
      </c>
      <c r="I122">
        <v>131</v>
      </c>
      <c r="J122" t="s">
        <v>131</v>
      </c>
      <c r="K122" s="5" t="s">
        <v>630</v>
      </c>
      <c r="L122" t="s">
        <v>13</v>
      </c>
      <c r="M122" s="4" t="str">
        <f t="shared" si="59"/>
        <v>BXX_PSB1_JI1_PB_NF_RN</v>
      </c>
      <c r="N122" t="s">
        <v>14</v>
      </c>
      <c r="O122" s="4" t="str">
        <f t="shared" si="60"/>
        <v>Station BXX Ground Fault Dis Reason</v>
      </c>
    </row>
    <row r="123" spans="1:15" x14ac:dyDescent="0.25">
      <c r="A123" s="4" t="str">
        <f>LEFT($A$54,12)&amp;"_PB_"&amp;RIGHT($A$54,2)&amp;"_RN"</f>
        <v>BXX_GEN1_VV1_PB_SF_RN</v>
      </c>
      <c r="B123" s="4" t="str">
        <f t="shared" si="61"/>
        <v>BXX</v>
      </c>
      <c r="C123" s="4" t="str">
        <f>$C$54 &amp; " Dis Reason"</f>
        <v>Station BXX Louver Failed to Open Dis Reason</v>
      </c>
      <c r="D123" s="2">
        <f t="shared" ref="D123" si="75">LEN(C123)</f>
        <v>44</v>
      </c>
      <c r="E123" t="s">
        <v>14</v>
      </c>
      <c r="F123" t="s">
        <v>14</v>
      </c>
      <c r="G123">
        <v>0</v>
      </c>
      <c r="H123" t="s">
        <v>13</v>
      </c>
      <c r="I123">
        <v>131</v>
      </c>
      <c r="J123" t="s">
        <v>131</v>
      </c>
      <c r="K123" s="5" t="s">
        <v>630</v>
      </c>
      <c r="L123" t="s">
        <v>13</v>
      </c>
      <c r="M123" s="4" t="str">
        <f t="shared" si="59"/>
        <v>BXX_GEN1_VV1_PB_SF_RN</v>
      </c>
      <c r="N123" t="s">
        <v>14</v>
      </c>
      <c r="O123" s="4" t="str">
        <f t="shared" si="60"/>
        <v>Station BXX Louver Failed to Open Dis Reason</v>
      </c>
    </row>
    <row r="124" spans="1:15" x14ac:dyDescent="0.25">
      <c r="A124" s="4" t="str">
        <f>LEFT($A$58,12)&amp;"_PB_"&amp;RIGHT($A$58,2)&amp;"_RN"</f>
        <v>BXX_PSB1_TI1_PB_TL_RN</v>
      </c>
      <c r="B124" s="4" t="str">
        <f t="shared" si="61"/>
        <v>BXX</v>
      </c>
      <c r="C124" s="4" t="str">
        <f>$C$58 &amp; " Dis Reason"</f>
        <v>Station BXX Low Temperature Dis Reason</v>
      </c>
      <c r="D124" s="2">
        <f t="shared" ref="D124" si="76">LEN(C124)</f>
        <v>38</v>
      </c>
      <c r="E124" t="s">
        <v>14</v>
      </c>
      <c r="F124" t="s">
        <v>14</v>
      </c>
      <c r="G124">
        <v>0</v>
      </c>
      <c r="H124" t="s">
        <v>13</v>
      </c>
      <c r="I124">
        <v>131</v>
      </c>
      <c r="J124" t="s">
        <v>131</v>
      </c>
      <c r="K124" s="5" t="s">
        <v>630</v>
      </c>
      <c r="L124" t="s">
        <v>13</v>
      </c>
      <c r="M124" s="4" t="str">
        <f t="shared" si="59"/>
        <v>BXX_PSB1_TI1_PB_TL_RN</v>
      </c>
      <c r="N124" t="s">
        <v>14</v>
      </c>
      <c r="O124" s="4" t="str">
        <f t="shared" si="60"/>
        <v>Station BXX Low Temperature Dis Reason</v>
      </c>
    </row>
    <row r="125" spans="1:15" x14ac:dyDescent="0.25">
      <c r="A125" s="4" t="str">
        <f>LEFT($A$62,12)&amp;"_PB_"&amp;RIGHT($A$62,2)&amp;"_RN"</f>
        <v>BXX_PSB1_TI1_PB_TH_RN</v>
      </c>
      <c r="B125" s="4" t="str">
        <f t="shared" si="61"/>
        <v>BXX</v>
      </c>
      <c r="C125" s="4" t="str">
        <f>$C$62 &amp; " Dis Reason"</f>
        <v>Station BXX High Temperature Dis Reason</v>
      </c>
      <c r="D125" s="2">
        <f t="shared" ref="D125" si="77">LEN(C125)</f>
        <v>39</v>
      </c>
      <c r="E125" t="s">
        <v>14</v>
      </c>
      <c r="F125" t="s">
        <v>14</v>
      </c>
      <c r="G125">
        <v>0</v>
      </c>
      <c r="H125" t="s">
        <v>13</v>
      </c>
      <c r="I125">
        <v>131</v>
      </c>
      <c r="J125" t="s">
        <v>131</v>
      </c>
      <c r="K125" s="5" t="s">
        <v>630</v>
      </c>
      <c r="L125" t="s">
        <v>13</v>
      </c>
      <c r="M125" s="4" t="str">
        <f t="shared" si="59"/>
        <v>BXX_PSB1_TI1_PB_TH_RN</v>
      </c>
      <c r="N125" t="s">
        <v>14</v>
      </c>
      <c r="O125" s="4" t="str">
        <f t="shared" si="60"/>
        <v>Station BXX High Temperature Dis Reason</v>
      </c>
    </row>
    <row r="126" spans="1:15" x14ac:dyDescent="0.25">
      <c r="A126" s="4" t="str">
        <f>LEFT($A$66,12)&amp;"_PB_"&amp;RIGHT($A$66,2)&amp;"_RN"</f>
        <v>BXX_DW01_LE1_PB_KA_RN</v>
      </c>
      <c r="B126" s="4" t="str">
        <f t="shared" si="61"/>
        <v>BXX</v>
      </c>
      <c r="C126" s="4" t="str">
        <f>$C$63 &amp; " Dis Reason"</f>
        <v>Station BXX High Temperature Enable Dis Reason</v>
      </c>
      <c r="D126" s="2">
        <f t="shared" ref="D126" si="78">LEN(C126)</f>
        <v>46</v>
      </c>
      <c r="E126" t="s">
        <v>14</v>
      </c>
      <c r="F126" t="s">
        <v>14</v>
      </c>
      <c r="G126">
        <v>0</v>
      </c>
      <c r="H126" t="s">
        <v>13</v>
      </c>
      <c r="I126">
        <v>131</v>
      </c>
      <c r="J126" t="s">
        <v>131</v>
      </c>
      <c r="K126" s="5" t="s">
        <v>630</v>
      </c>
      <c r="L126" t="s">
        <v>13</v>
      </c>
      <c r="M126" s="4" t="str">
        <f t="shared" si="59"/>
        <v>BXX_DW01_LE1_PB_KA_RN</v>
      </c>
      <c r="N126" t="s">
        <v>14</v>
      </c>
      <c r="O126" s="4" t="str">
        <f t="shared" si="60"/>
        <v>Station BXX High Temperature Enable Dis Reason</v>
      </c>
    </row>
    <row r="127" spans="1:15" x14ac:dyDescent="0.25">
      <c r="A127" s="4" t="str">
        <f>LEFT($A$70,12)&amp;"_PB_"&amp;RIGHT($A$70,2)&amp;"_RN"</f>
        <v>BXX_PSB1_001_PB_YA_RN</v>
      </c>
      <c r="B127" s="4" t="str">
        <f t="shared" si="61"/>
        <v>BXX</v>
      </c>
      <c r="C127" s="4" t="str">
        <f>$C$64 &amp; " Dis Reason"</f>
        <v>Station BXX High Temperature Dialer En Dis Reason</v>
      </c>
      <c r="D127" s="2">
        <f t="shared" ref="D127" si="79">LEN(C127)</f>
        <v>49</v>
      </c>
      <c r="E127" t="s">
        <v>14</v>
      </c>
      <c r="F127" t="s">
        <v>14</v>
      </c>
      <c r="G127">
        <v>0</v>
      </c>
      <c r="H127" t="s">
        <v>13</v>
      </c>
      <c r="I127">
        <v>131</v>
      </c>
      <c r="J127" t="s">
        <v>131</v>
      </c>
      <c r="K127" s="5" t="s">
        <v>630</v>
      </c>
      <c r="L127" t="s">
        <v>13</v>
      </c>
      <c r="M127" s="4" t="str">
        <f t="shared" si="59"/>
        <v>BXX_PSB1_001_PB_YA_RN</v>
      </c>
      <c r="N127" t="s">
        <v>14</v>
      </c>
      <c r="O127" s="4" t="str">
        <f t="shared" si="60"/>
        <v>Station BXX High Temperature Dialer En Dis Reason</v>
      </c>
    </row>
    <row r="128" spans="1:15" x14ac:dyDescent="0.25">
      <c r="A128" s="4" t="str">
        <f>LEFT($A$74,12)&amp;"_PB_"&amp;RIGHT($A$74,2)&amp;"_RN"</f>
        <v>BXX_GDS1_GI1_PB_AR_RN</v>
      </c>
      <c r="B128" s="4" t="str">
        <f t="shared" si="61"/>
        <v>BXX</v>
      </c>
      <c r="C128" s="4" t="str">
        <f>$C$74 &amp; " Dis Reason"</f>
        <v>Station BXX Gas Detector Failure Dis Reason</v>
      </c>
      <c r="D128" s="2">
        <f t="shared" ref="D128" si="80">LEN(C128)</f>
        <v>43</v>
      </c>
      <c r="E128" t="s">
        <v>14</v>
      </c>
      <c r="F128" t="s">
        <v>14</v>
      </c>
      <c r="G128">
        <v>0</v>
      </c>
      <c r="H128" t="s">
        <v>13</v>
      </c>
      <c r="I128">
        <v>131</v>
      </c>
      <c r="J128" t="s">
        <v>131</v>
      </c>
      <c r="K128" s="5" t="s">
        <v>630</v>
      </c>
      <c r="L128" t="s">
        <v>13</v>
      </c>
      <c r="M128" s="4" t="str">
        <f t="shared" si="59"/>
        <v>BXX_GDS1_GI1_PB_AR_RN</v>
      </c>
      <c r="N128" t="s">
        <v>14</v>
      </c>
      <c r="O128" s="4" t="str">
        <f t="shared" si="60"/>
        <v>Station BXX Gas Detector Failure Dis Reason</v>
      </c>
    </row>
    <row r="129" spans="1:15" x14ac:dyDescent="0.25">
      <c r="A129" s="4" t="str">
        <f>LEFT($A$78,12)&amp;"_PB_"&amp;RIGHT($A$78,2)&amp;"_RN"</f>
        <v>BXX_GDS1_GI1_PB_AG_RN</v>
      </c>
      <c r="B129" s="4" t="str">
        <f t="shared" si="61"/>
        <v>BXX</v>
      </c>
      <c r="C129" s="4" t="str">
        <f>$C$78 &amp; " Dis Reason"</f>
        <v>Station BXX Gas Detector Alarm Dis Reason</v>
      </c>
      <c r="D129" s="2">
        <f t="shared" ref="D129" si="81">LEN(C129)</f>
        <v>41</v>
      </c>
      <c r="E129" t="s">
        <v>14</v>
      </c>
      <c r="F129" t="s">
        <v>14</v>
      </c>
      <c r="G129">
        <v>0</v>
      </c>
      <c r="H129" t="s">
        <v>13</v>
      </c>
      <c r="I129">
        <v>131</v>
      </c>
      <c r="J129" t="s">
        <v>131</v>
      </c>
      <c r="K129" s="5" t="s">
        <v>630</v>
      </c>
      <c r="L129" t="s">
        <v>13</v>
      </c>
      <c r="M129" s="4" t="str">
        <f t="shared" si="59"/>
        <v>BXX_GDS1_GI1_PB_AG_RN</v>
      </c>
      <c r="N129" t="s">
        <v>14</v>
      </c>
      <c r="O129" s="4" t="str">
        <f t="shared" si="60"/>
        <v>Station BXX Gas Detector Alarm Dis Reason</v>
      </c>
    </row>
    <row r="130" spans="1:15" x14ac:dyDescent="0.25">
      <c r="A130" s="4" t="str">
        <f>LEFT($A$82,12)&amp;"_PB_"&amp;RIGHT($A$82,2)&amp;"_RN"</f>
        <v>BXX_GDS1_GI1_PB_AW_RN</v>
      </c>
      <c r="B130" s="4" t="str">
        <f t="shared" si="61"/>
        <v>BXX</v>
      </c>
      <c r="C130" s="4" t="str">
        <f>$C$82 &amp; " Dis Reason"</f>
        <v>Station BXX Gas Detector Warning Dis Reason</v>
      </c>
      <c r="D130" s="2">
        <f t="shared" ref="D130" si="82">LEN(C130)</f>
        <v>43</v>
      </c>
      <c r="E130" t="s">
        <v>14</v>
      </c>
      <c r="F130" t="s">
        <v>14</v>
      </c>
      <c r="G130">
        <v>0</v>
      </c>
      <c r="H130" t="s">
        <v>13</v>
      </c>
      <c r="I130">
        <v>131</v>
      </c>
      <c r="J130" t="s">
        <v>131</v>
      </c>
      <c r="K130" s="5" t="s">
        <v>630</v>
      </c>
      <c r="L130" t="s">
        <v>13</v>
      </c>
      <c r="M130" s="4" t="str">
        <f t="shared" si="59"/>
        <v>BXX_GDS1_GI1_PB_AW_RN</v>
      </c>
      <c r="N130" t="s">
        <v>14</v>
      </c>
      <c r="O130" s="4" t="str">
        <f t="shared" si="60"/>
        <v>Station BXX Gas Detector Warning Dis Reason</v>
      </c>
    </row>
    <row r="131" spans="1:15" x14ac:dyDescent="0.25">
      <c r="A131" s="4" t="str">
        <f>LEFT($A$86,12)&amp;"_PB_"&amp;RIGHT($A$86,2)&amp;"_RN"</f>
        <v>BXX_PSU1_001_PB_GA_RN</v>
      </c>
      <c r="B131" s="4" t="str">
        <f t="shared" si="61"/>
        <v>BXX</v>
      </c>
      <c r="C131" s="4" t="str">
        <f>$C$86 &amp; " Dis Reason"</f>
        <v>Station BXX Main 24VDC Power Fault Dis Reason</v>
      </c>
      <c r="D131" s="2">
        <f t="shared" ref="D131" si="83">LEN(C131)</f>
        <v>45</v>
      </c>
      <c r="E131" t="s">
        <v>14</v>
      </c>
      <c r="F131" t="s">
        <v>14</v>
      </c>
      <c r="G131">
        <v>0</v>
      </c>
      <c r="H131" t="s">
        <v>13</v>
      </c>
      <c r="I131">
        <v>131</v>
      </c>
      <c r="J131" t="s">
        <v>131</v>
      </c>
      <c r="K131" s="5" t="s">
        <v>630</v>
      </c>
      <c r="L131" t="s">
        <v>13</v>
      </c>
      <c r="M131" s="4" t="str">
        <f t="shared" si="59"/>
        <v>BXX_PSU1_001_PB_GA_RN</v>
      </c>
      <c r="N131" t="s">
        <v>14</v>
      </c>
      <c r="O131" s="4" t="str">
        <f t="shared" si="60"/>
        <v>Station BXX Main 24VDC Power Fault Dis Reason</v>
      </c>
    </row>
    <row r="132" spans="1:15" ht="12.6" customHeight="1" x14ac:dyDescent="0.25">
      <c r="A132" s="4" t="str">
        <f>LEFT($A$90,12)&amp;"_PB_"&amp;RIGHT($A$90,2)&amp;"_RN"</f>
        <v>BXX_BLS1_CP1_PB_GA_RN</v>
      </c>
      <c r="B132" s="4" t="str">
        <f t="shared" si="61"/>
        <v>BXX</v>
      </c>
      <c r="C132" s="4" t="str">
        <f>$C$90 &amp; " Dis Reason"</f>
        <v>Station BXX Backup 24VDC Power Fault Dis Reason</v>
      </c>
      <c r="D132" s="2">
        <f t="shared" ref="D132" si="84">LEN(C132)</f>
        <v>47</v>
      </c>
      <c r="E132" t="s">
        <v>14</v>
      </c>
      <c r="F132" t="s">
        <v>14</v>
      </c>
      <c r="G132">
        <v>0</v>
      </c>
      <c r="H132" t="s">
        <v>13</v>
      </c>
      <c r="I132">
        <v>131</v>
      </c>
      <c r="J132" t="s">
        <v>131</v>
      </c>
      <c r="K132" s="5" t="s">
        <v>630</v>
      </c>
      <c r="L132" t="s">
        <v>13</v>
      </c>
      <c r="M132" s="4" t="str">
        <f t="shared" si="59"/>
        <v>BXX_BLS1_CP1_PB_GA_RN</v>
      </c>
      <c r="N132" t="s">
        <v>14</v>
      </c>
      <c r="O132" s="4" t="str">
        <f t="shared" si="60"/>
        <v>Station BXX Backup 24VDC Power Fault Dis Reason</v>
      </c>
    </row>
    <row r="133" spans="1:15" ht="12.6" customHeight="1" x14ac:dyDescent="0.25">
      <c r="A133" s="4" t="str">
        <f>LEFT($A$94,12)&amp;"_PB_"&amp;RIGHT($A$94,2)&amp;"_RN"</f>
        <v>BXX_STN1_EY1_PB_SS_RN</v>
      </c>
      <c r="B133" s="4" t="str">
        <f t="shared" si="61"/>
        <v>BXX</v>
      </c>
      <c r="C133" s="4" t="str">
        <f>$C$94 &amp; " Dis Reason"</f>
        <v>Station BXX Eyewash Station Active Dis Reason</v>
      </c>
      <c r="D133" s="2">
        <f t="shared" ref="D133" si="85">LEN(C133)</f>
        <v>45</v>
      </c>
      <c r="E133" t="s">
        <v>14</v>
      </c>
      <c r="F133" t="s">
        <v>14</v>
      </c>
      <c r="G133">
        <v>0</v>
      </c>
      <c r="H133" t="s">
        <v>13</v>
      </c>
      <c r="I133">
        <v>131</v>
      </c>
      <c r="J133" t="s">
        <v>131</v>
      </c>
      <c r="K133" s="5" t="s">
        <v>630</v>
      </c>
      <c r="L133" t="s">
        <v>13</v>
      </c>
      <c r="M133" s="4" t="str">
        <f t="shared" si="59"/>
        <v>BXX_STN1_EY1_PB_SS_RN</v>
      </c>
      <c r="N133" t="s">
        <v>14</v>
      </c>
      <c r="O133" s="4" t="str">
        <f t="shared" si="60"/>
        <v>Station BXX Eyewash Station Active Dis Reason</v>
      </c>
    </row>
    <row r="134" spans="1:15" x14ac:dyDescent="0.25">
      <c r="A134" s="4" t="str">
        <f>LEFT($A$98,12)&amp;"_PB_"&amp;RIGHT($A$98,2)&amp;"_RN"</f>
        <v>BXX_UPS2_001_PB_GA_RN</v>
      </c>
      <c r="B134" s="4" t="str">
        <f t="shared" si="61"/>
        <v>BXX</v>
      </c>
      <c r="C134" s="4" t="str">
        <f>$C$98 &amp; " Dis Reason"</f>
        <v>Station BXX Backup UPS Fault Dis Reason</v>
      </c>
      <c r="D134" s="2">
        <f t="shared" ref="D134" si="86">LEN(C134)</f>
        <v>39</v>
      </c>
      <c r="E134" t="s">
        <v>14</v>
      </c>
      <c r="F134" t="s">
        <v>14</v>
      </c>
      <c r="G134">
        <v>0</v>
      </c>
      <c r="H134" t="s">
        <v>13</v>
      </c>
      <c r="I134">
        <v>131</v>
      </c>
      <c r="J134" t="s">
        <v>131</v>
      </c>
      <c r="K134" s="5" t="s">
        <v>630</v>
      </c>
      <c r="L134" t="s">
        <v>13</v>
      </c>
      <c r="M134" s="4" t="str">
        <f t="shared" si="59"/>
        <v>BXX_UPS2_001_PB_GA_RN</v>
      </c>
      <c r="N134" t="s">
        <v>14</v>
      </c>
      <c r="O134" s="4" t="str">
        <f t="shared" si="60"/>
        <v>Station BXX Backup UPS Fault Dis Reason</v>
      </c>
    </row>
    <row r="135" spans="1:15" x14ac:dyDescent="0.25">
      <c r="A135" s="4" t="str">
        <f>LEFT($A$102,12)&amp;"_PB_"&amp;RIGHT($A$102,2)&amp;"_RN"</f>
        <v>BXX_UPS2_BT1_PB_JL_RN</v>
      </c>
      <c r="B135" s="4" t="str">
        <f t="shared" si="61"/>
        <v>BXX</v>
      </c>
      <c r="C135" s="4" t="str">
        <f>$C$102 &amp; " Dis Reason"</f>
        <v>Station BXX Backup UPS Low Battery Dis Reason</v>
      </c>
      <c r="D135" s="2">
        <f t="shared" ref="D135" si="87">LEN(C135)</f>
        <v>45</v>
      </c>
      <c r="E135" t="s">
        <v>14</v>
      </c>
      <c r="F135" t="s">
        <v>14</v>
      </c>
      <c r="G135">
        <v>0</v>
      </c>
      <c r="H135" t="s">
        <v>13</v>
      </c>
      <c r="I135">
        <v>131</v>
      </c>
      <c r="J135" t="s">
        <v>131</v>
      </c>
      <c r="K135" s="5" t="s">
        <v>630</v>
      </c>
      <c r="L135" t="s">
        <v>13</v>
      </c>
      <c r="M135" s="4" t="str">
        <f t="shared" si="59"/>
        <v>BXX_UPS2_BT1_PB_JL_RN</v>
      </c>
      <c r="N135" t="s">
        <v>14</v>
      </c>
      <c r="O135" s="4" t="str">
        <f t="shared" si="60"/>
        <v>Station BXX Backup UPS Low Battery Dis Reason</v>
      </c>
    </row>
    <row r="136" spans="1:15" x14ac:dyDescent="0.25">
      <c r="A136" s="4" t="str">
        <f>LEFT($A$106,12)&amp;"_PB_"&amp;RIGHT($A$106,2)&amp;"_RN"</f>
        <v>BXX_GEN1_JI1_PB_CD_RN</v>
      </c>
      <c r="B136" s="4" t="str">
        <f t="shared" si="61"/>
        <v>BXX</v>
      </c>
      <c r="C136" s="4" t="str">
        <f>$C$106 &amp; " Dis Rsn"</f>
        <v>Station BXX Generator Breaker Not Closed Dis Rsn</v>
      </c>
      <c r="D136" s="2">
        <f t="shared" ref="D136" si="88">LEN(C136)</f>
        <v>48</v>
      </c>
      <c r="E136" t="s">
        <v>14</v>
      </c>
      <c r="F136" t="s">
        <v>14</v>
      </c>
      <c r="G136">
        <v>0</v>
      </c>
      <c r="H136" t="s">
        <v>13</v>
      </c>
      <c r="I136">
        <v>131</v>
      </c>
      <c r="J136" t="s">
        <v>131</v>
      </c>
      <c r="K136" s="5" t="s">
        <v>630</v>
      </c>
      <c r="L136" t="s">
        <v>13</v>
      </c>
      <c r="M136" s="4" t="str">
        <f t="shared" si="59"/>
        <v>BXX_GEN1_JI1_PB_CD_RN</v>
      </c>
      <c r="N136" t="s">
        <v>14</v>
      </c>
      <c r="O136" s="4" t="str">
        <f t="shared" si="60"/>
        <v>Station BXX Generator Breaker Not Closed Dis Rsn</v>
      </c>
    </row>
  </sheetData>
  <conditionalFormatting sqref="D2">
    <cfRule type="cellIs" dxfId="365" priority="149" operator="greaterThan">
      <formula>49</formula>
    </cfRule>
  </conditionalFormatting>
  <conditionalFormatting sqref="D3">
    <cfRule type="cellIs" dxfId="364" priority="148" operator="greaterThan">
      <formula>49</formula>
    </cfRule>
  </conditionalFormatting>
  <conditionalFormatting sqref="D4">
    <cfRule type="cellIs" dxfId="363" priority="147" operator="greaterThan">
      <formula>49</formula>
    </cfRule>
  </conditionalFormatting>
  <conditionalFormatting sqref="D6">
    <cfRule type="cellIs" dxfId="362" priority="146" operator="greaterThan">
      <formula>49</formula>
    </cfRule>
  </conditionalFormatting>
  <conditionalFormatting sqref="D7">
    <cfRule type="cellIs" dxfId="361" priority="145" operator="greaterThan">
      <formula>49</formula>
    </cfRule>
  </conditionalFormatting>
  <conditionalFormatting sqref="D8">
    <cfRule type="cellIs" dxfId="360" priority="144" operator="greaterThan">
      <formula>49</formula>
    </cfRule>
  </conditionalFormatting>
  <conditionalFormatting sqref="D9">
    <cfRule type="cellIs" dxfId="359" priority="143" operator="greaterThan">
      <formula>49</formula>
    </cfRule>
  </conditionalFormatting>
  <conditionalFormatting sqref="D10">
    <cfRule type="cellIs" dxfId="358" priority="142" operator="greaterThan">
      <formula>49</formula>
    </cfRule>
  </conditionalFormatting>
  <conditionalFormatting sqref="D11">
    <cfRule type="cellIs" dxfId="357" priority="141" operator="greaterThan">
      <formula>49</formula>
    </cfRule>
  </conditionalFormatting>
  <conditionalFormatting sqref="D12">
    <cfRule type="cellIs" dxfId="356" priority="140" operator="greaterThan">
      <formula>49</formula>
    </cfRule>
  </conditionalFormatting>
  <conditionalFormatting sqref="D13">
    <cfRule type="cellIs" dxfId="355" priority="139" operator="greaterThan">
      <formula>49</formula>
    </cfRule>
  </conditionalFormatting>
  <conditionalFormatting sqref="D14">
    <cfRule type="cellIs" dxfId="354" priority="138" operator="greaterThan">
      <formula>49</formula>
    </cfRule>
  </conditionalFormatting>
  <conditionalFormatting sqref="D15">
    <cfRule type="cellIs" dxfId="353" priority="137" operator="greaterThan">
      <formula>49</formula>
    </cfRule>
  </conditionalFormatting>
  <conditionalFormatting sqref="D16">
    <cfRule type="cellIs" dxfId="352" priority="136" operator="greaterThan">
      <formula>49</formula>
    </cfRule>
  </conditionalFormatting>
  <conditionalFormatting sqref="D17">
    <cfRule type="cellIs" dxfId="351" priority="135" operator="greaterThan">
      <formula>49</formula>
    </cfRule>
  </conditionalFormatting>
  <conditionalFormatting sqref="D18">
    <cfRule type="cellIs" dxfId="350" priority="134" operator="greaterThan">
      <formula>49</formula>
    </cfRule>
  </conditionalFormatting>
  <conditionalFormatting sqref="D19">
    <cfRule type="cellIs" dxfId="349" priority="133" operator="greaterThan">
      <formula>49</formula>
    </cfRule>
  </conditionalFormatting>
  <conditionalFormatting sqref="D20">
    <cfRule type="cellIs" dxfId="348" priority="132" operator="greaterThan">
      <formula>49</formula>
    </cfRule>
  </conditionalFormatting>
  <conditionalFormatting sqref="D21">
    <cfRule type="cellIs" dxfId="347" priority="131" operator="greaterThan">
      <formula>49</formula>
    </cfRule>
  </conditionalFormatting>
  <conditionalFormatting sqref="D22">
    <cfRule type="cellIs" dxfId="346" priority="130" operator="greaterThan">
      <formula>49</formula>
    </cfRule>
  </conditionalFormatting>
  <conditionalFormatting sqref="D23">
    <cfRule type="cellIs" dxfId="345" priority="129" operator="greaterThan">
      <formula>49</formula>
    </cfRule>
  </conditionalFormatting>
  <conditionalFormatting sqref="D24">
    <cfRule type="cellIs" dxfId="344" priority="128" operator="greaterThan">
      <formula>49</formula>
    </cfRule>
  </conditionalFormatting>
  <conditionalFormatting sqref="D25">
    <cfRule type="cellIs" dxfId="343" priority="127" operator="greaterThan">
      <formula>49</formula>
    </cfRule>
  </conditionalFormatting>
  <conditionalFormatting sqref="D26">
    <cfRule type="cellIs" dxfId="342" priority="125" operator="greaterThan">
      <formula>49</formula>
    </cfRule>
  </conditionalFormatting>
  <conditionalFormatting sqref="D27">
    <cfRule type="cellIs" dxfId="341" priority="124" operator="greaterThan">
      <formula>49</formula>
    </cfRule>
  </conditionalFormatting>
  <conditionalFormatting sqref="D28">
    <cfRule type="cellIs" dxfId="340" priority="123" operator="greaterThan">
      <formula>49</formula>
    </cfRule>
  </conditionalFormatting>
  <conditionalFormatting sqref="D29">
    <cfRule type="cellIs" dxfId="339" priority="122" operator="greaterThan">
      <formula>49</formula>
    </cfRule>
  </conditionalFormatting>
  <conditionalFormatting sqref="D30">
    <cfRule type="cellIs" dxfId="338" priority="121" operator="greaterThan">
      <formula>49</formula>
    </cfRule>
  </conditionalFormatting>
  <conditionalFormatting sqref="D31">
    <cfRule type="cellIs" dxfId="337" priority="120" operator="greaterThan">
      <formula>49</formula>
    </cfRule>
  </conditionalFormatting>
  <conditionalFormatting sqref="D32">
    <cfRule type="cellIs" dxfId="336" priority="119" operator="greaterThan">
      <formula>49</formula>
    </cfRule>
  </conditionalFormatting>
  <conditionalFormatting sqref="D33">
    <cfRule type="cellIs" dxfId="335" priority="118" operator="greaterThan">
      <formula>49</formula>
    </cfRule>
  </conditionalFormatting>
  <conditionalFormatting sqref="D34">
    <cfRule type="cellIs" dxfId="334" priority="117" operator="greaterThan">
      <formula>49</formula>
    </cfRule>
  </conditionalFormatting>
  <conditionalFormatting sqref="D35">
    <cfRule type="cellIs" dxfId="333" priority="116" operator="greaterThan">
      <formula>49</formula>
    </cfRule>
  </conditionalFormatting>
  <conditionalFormatting sqref="D36">
    <cfRule type="cellIs" dxfId="332" priority="115" operator="greaterThan">
      <formula>49</formula>
    </cfRule>
  </conditionalFormatting>
  <conditionalFormatting sqref="D37">
    <cfRule type="cellIs" dxfId="331" priority="114" operator="greaterThan">
      <formula>49</formula>
    </cfRule>
  </conditionalFormatting>
  <conditionalFormatting sqref="D38">
    <cfRule type="cellIs" dxfId="330" priority="113" operator="greaterThan">
      <formula>49</formula>
    </cfRule>
  </conditionalFormatting>
  <conditionalFormatting sqref="D39">
    <cfRule type="cellIs" dxfId="329" priority="112" operator="greaterThan">
      <formula>49</formula>
    </cfRule>
  </conditionalFormatting>
  <conditionalFormatting sqref="D40">
    <cfRule type="cellIs" dxfId="328" priority="111" operator="greaterThan">
      <formula>49</formula>
    </cfRule>
  </conditionalFormatting>
  <conditionalFormatting sqref="D41">
    <cfRule type="cellIs" dxfId="327" priority="110" operator="greaterThan">
      <formula>49</formula>
    </cfRule>
  </conditionalFormatting>
  <conditionalFormatting sqref="D42">
    <cfRule type="cellIs" dxfId="326" priority="109" operator="greaterThan">
      <formula>49</formula>
    </cfRule>
  </conditionalFormatting>
  <conditionalFormatting sqref="D43">
    <cfRule type="cellIs" dxfId="325" priority="108" operator="greaterThan">
      <formula>49</formula>
    </cfRule>
  </conditionalFormatting>
  <conditionalFormatting sqref="D44">
    <cfRule type="cellIs" dxfId="324" priority="107" operator="greaterThan">
      <formula>49</formula>
    </cfRule>
  </conditionalFormatting>
  <conditionalFormatting sqref="D45">
    <cfRule type="cellIs" dxfId="323" priority="106" operator="greaterThan">
      <formula>49</formula>
    </cfRule>
  </conditionalFormatting>
  <conditionalFormatting sqref="D50">
    <cfRule type="cellIs" dxfId="322" priority="105" operator="greaterThan">
      <formula>49</formula>
    </cfRule>
  </conditionalFormatting>
  <conditionalFormatting sqref="D51">
    <cfRule type="cellIs" dxfId="321" priority="104" operator="greaterThan">
      <formula>49</formula>
    </cfRule>
  </conditionalFormatting>
  <conditionalFormatting sqref="D52">
    <cfRule type="cellIs" dxfId="320" priority="103" operator="greaterThan">
      <formula>49</formula>
    </cfRule>
  </conditionalFormatting>
  <conditionalFormatting sqref="D53">
    <cfRule type="cellIs" dxfId="319" priority="102" operator="greaterThan">
      <formula>49</formula>
    </cfRule>
  </conditionalFormatting>
  <conditionalFormatting sqref="D54">
    <cfRule type="cellIs" dxfId="318" priority="101" operator="greaterThan">
      <formula>49</formula>
    </cfRule>
  </conditionalFormatting>
  <conditionalFormatting sqref="D55">
    <cfRule type="cellIs" dxfId="317" priority="100" operator="greaterThan">
      <formula>49</formula>
    </cfRule>
  </conditionalFormatting>
  <conditionalFormatting sqref="D56">
    <cfRule type="cellIs" dxfId="316" priority="99" operator="greaterThan">
      <formula>49</formula>
    </cfRule>
  </conditionalFormatting>
  <conditionalFormatting sqref="D57">
    <cfRule type="cellIs" dxfId="315" priority="98" operator="greaterThan">
      <formula>49</formula>
    </cfRule>
  </conditionalFormatting>
  <conditionalFormatting sqref="D58">
    <cfRule type="cellIs" dxfId="314" priority="97" operator="greaterThan">
      <formula>49</formula>
    </cfRule>
  </conditionalFormatting>
  <conditionalFormatting sqref="D59">
    <cfRule type="cellIs" dxfId="313" priority="96" operator="greaterThan">
      <formula>49</formula>
    </cfRule>
  </conditionalFormatting>
  <conditionalFormatting sqref="D60">
    <cfRule type="cellIs" dxfId="312" priority="95" operator="greaterThan">
      <formula>49</formula>
    </cfRule>
  </conditionalFormatting>
  <conditionalFormatting sqref="D61">
    <cfRule type="cellIs" dxfId="311" priority="94" operator="greaterThan">
      <formula>49</formula>
    </cfRule>
  </conditionalFormatting>
  <conditionalFormatting sqref="D62">
    <cfRule type="cellIs" dxfId="310" priority="93" operator="greaterThan">
      <formula>49</formula>
    </cfRule>
  </conditionalFormatting>
  <conditionalFormatting sqref="D63">
    <cfRule type="cellIs" dxfId="309" priority="92" operator="greaterThan">
      <formula>49</formula>
    </cfRule>
  </conditionalFormatting>
  <conditionalFormatting sqref="D64">
    <cfRule type="cellIs" dxfId="308" priority="91" operator="greaterThan">
      <formula>49</formula>
    </cfRule>
  </conditionalFormatting>
  <conditionalFormatting sqref="D65">
    <cfRule type="cellIs" dxfId="307" priority="90" operator="greaterThan">
      <formula>49</formula>
    </cfRule>
  </conditionalFormatting>
  <conditionalFormatting sqref="D66">
    <cfRule type="cellIs" dxfId="306" priority="89" operator="greaterThan">
      <formula>49</formula>
    </cfRule>
  </conditionalFormatting>
  <conditionalFormatting sqref="D67">
    <cfRule type="cellIs" dxfId="305" priority="88" operator="greaterThan">
      <formula>49</formula>
    </cfRule>
  </conditionalFormatting>
  <conditionalFormatting sqref="D68">
    <cfRule type="cellIs" dxfId="304" priority="87" operator="greaterThan">
      <formula>49</formula>
    </cfRule>
  </conditionalFormatting>
  <conditionalFormatting sqref="D69">
    <cfRule type="cellIs" dxfId="303" priority="86" operator="greaterThan">
      <formula>49</formula>
    </cfRule>
  </conditionalFormatting>
  <conditionalFormatting sqref="D70">
    <cfRule type="cellIs" dxfId="302" priority="85" operator="greaterThan">
      <formula>49</formula>
    </cfRule>
  </conditionalFormatting>
  <conditionalFormatting sqref="D71">
    <cfRule type="cellIs" dxfId="301" priority="84" operator="greaterThan">
      <formula>49</formula>
    </cfRule>
  </conditionalFormatting>
  <conditionalFormatting sqref="D72">
    <cfRule type="cellIs" dxfId="300" priority="83" operator="greaterThan">
      <formula>49</formula>
    </cfRule>
  </conditionalFormatting>
  <conditionalFormatting sqref="D73">
    <cfRule type="cellIs" dxfId="299" priority="82" operator="greaterThan">
      <formula>49</formula>
    </cfRule>
  </conditionalFormatting>
  <conditionalFormatting sqref="D74">
    <cfRule type="cellIs" dxfId="298" priority="81" operator="greaterThan">
      <formula>49</formula>
    </cfRule>
  </conditionalFormatting>
  <conditionalFormatting sqref="D75">
    <cfRule type="cellIs" dxfId="297" priority="80" operator="greaterThan">
      <formula>49</formula>
    </cfRule>
  </conditionalFormatting>
  <conditionalFormatting sqref="D76">
    <cfRule type="cellIs" dxfId="296" priority="79" operator="greaterThan">
      <formula>49</formula>
    </cfRule>
  </conditionalFormatting>
  <conditionalFormatting sqref="D77">
    <cfRule type="cellIs" dxfId="295" priority="78" operator="greaterThan">
      <formula>49</formula>
    </cfRule>
  </conditionalFormatting>
  <conditionalFormatting sqref="D78">
    <cfRule type="cellIs" dxfId="294" priority="77" operator="greaterThan">
      <formula>49</formula>
    </cfRule>
  </conditionalFormatting>
  <conditionalFormatting sqref="D79">
    <cfRule type="cellIs" dxfId="293" priority="76" operator="greaterThan">
      <formula>49</formula>
    </cfRule>
  </conditionalFormatting>
  <conditionalFormatting sqref="D80">
    <cfRule type="cellIs" dxfId="292" priority="75" operator="greaterThan">
      <formula>49</formula>
    </cfRule>
  </conditionalFormatting>
  <conditionalFormatting sqref="D81">
    <cfRule type="cellIs" dxfId="291" priority="74" operator="greaterThan">
      <formula>49</formula>
    </cfRule>
  </conditionalFormatting>
  <conditionalFormatting sqref="D82">
    <cfRule type="cellIs" dxfId="290" priority="73" operator="greaterThan">
      <formula>49</formula>
    </cfRule>
  </conditionalFormatting>
  <conditionalFormatting sqref="D83">
    <cfRule type="cellIs" dxfId="289" priority="72" operator="greaterThan">
      <formula>49</formula>
    </cfRule>
  </conditionalFormatting>
  <conditionalFormatting sqref="D84">
    <cfRule type="cellIs" dxfId="288" priority="71" operator="greaterThan">
      <formula>49</formula>
    </cfRule>
  </conditionalFormatting>
  <conditionalFormatting sqref="D85">
    <cfRule type="cellIs" dxfId="287" priority="70" operator="greaterThan">
      <formula>49</formula>
    </cfRule>
  </conditionalFormatting>
  <conditionalFormatting sqref="D86">
    <cfRule type="cellIs" dxfId="286" priority="69" operator="greaterThan">
      <formula>49</formula>
    </cfRule>
  </conditionalFormatting>
  <conditionalFormatting sqref="D87">
    <cfRule type="cellIs" dxfId="285" priority="68" operator="greaterThan">
      <formula>49</formula>
    </cfRule>
  </conditionalFormatting>
  <conditionalFormatting sqref="D88">
    <cfRule type="cellIs" dxfId="284" priority="67" operator="greaterThan">
      <formula>49</formula>
    </cfRule>
  </conditionalFormatting>
  <conditionalFormatting sqref="D89">
    <cfRule type="cellIs" dxfId="283" priority="66" operator="greaterThan">
      <formula>49</formula>
    </cfRule>
  </conditionalFormatting>
  <conditionalFormatting sqref="D90">
    <cfRule type="cellIs" dxfId="282" priority="65" operator="greaterThan">
      <formula>49</formula>
    </cfRule>
  </conditionalFormatting>
  <conditionalFormatting sqref="D91">
    <cfRule type="cellIs" dxfId="281" priority="64" operator="greaterThan">
      <formula>49</formula>
    </cfRule>
  </conditionalFormatting>
  <conditionalFormatting sqref="D92">
    <cfRule type="cellIs" dxfId="280" priority="63" operator="greaterThan">
      <formula>49</formula>
    </cfRule>
  </conditionalFormatting>
  <conditionalFormatting sqref="D93">
    <cfRule type="cellIs" dxfId="279" priority="62" operator="greaterThan">
      <formula>49</formula>
    </cfRule>
  </conditionalFormatting>
  <conditionalFormatting sqref="D94">
    <cfRule type="cellIs" dxfId="278" priority="61" operator="greaterThan">
      <formula>49</formula>
    </cfRule>
  </conditionalFormatting>
  <conditionalFormatting sqref="D95">
    <cfRule type="cellIs" dxfId="277" priority="60" operator="greaterThan">
      <formula>49</formula>
    </cfRule>
  </conditionalFormatting>
  <conditionalFormatting sqref="D96">
    <cfRule type="cellIs" dxfId="276" priority="59" operator="greaterThan">
      <formula>49</formula>
    </cfRule>
  </conditionalFormatting>
  <conditionalFormatting sqref="D97">
    <cfRule type="cellIs" dxfId="275" priority="58" operator="greaterThan">
      <formula>49</formula>
    </cfRule>
  </conditionalFormatting>
  <conditionalFormatting sqref="D98">
    <cfRule type="cellIs" dxfId="274" priority="57" operator="greaterThan">
      <formula>49</formula>
    </cfRule>
  </conditionalFormatting>
  <conditionalFormatting sqref="D99">
    <cfRule type="cellIs" dxfId="273" priority="56" operator="greaterThan">
      <formula>49</formula>
    </cfRule>
  </conditionalFormatting>
  <conditionalFormatting sqref="D100">
    <cfRule type="cellIs" dxfId="272" priority="55" operator="greaterThan">
      <formula>49</formula>
    </cfRule>
  </conditionalFormatting>
  <conditionalFormatting sqref="D101">
    <cfRule type="cellIs" dxfId="271" priority="54" operator="greaterThan">
      <formula>49</formula>
    </cfRule>
  </conditionalFormatting>
  <conditionalFormatting sqref="D102">
    <cfRule type="cellIs" dxfId="270" priority="53" operator="greaterThan">
      <formula>49</formula>
    </cfRule>
  </conditionalFormatting>
  <conditionalFormatting sqref="D103">
    <cfRule type="cellIs" dxfId="269" priority="52" operator="greaterThan">
      <formula>49</formula>
    </cfRule>
  </conditionalFormatting>
  <conditionalFormatting sqref="D104">
    <cfRule type="cellIs" dxfId="268" priority="51" operator="greaterThan">
      <formula>49</formula>
    </cfRule>
  </conditionalFormatting>
  <conditionalFormatting sqref="D105">
    <cfRule type="cellIs" dxfId="267" priority="50" operator="greaterThan">
      <formula>49</formula>
    </cfRule>
  </conditionalFormatting>
  <conditionalFormatting sqref="D106">
    <cfRule type="cellIs" dxfId="266" priority="49" operator="greaterThan">
      <formula>49</formula>
    </cfRule>
  </conditionalFormatting>
  <conditionalFormatting sqref="D107">
    <cfRule type="cellIs" dxfId="265" priority="45" operator="greaterThan">
      <formula>49</formula>
    </cfRule>
  </conditionalFormatting>
  <conditionalFormatting sqref="D108">
    <cfRule type="cellIs" dxfId="264" priority="44" operator="greaterThan">
      <formula>49</formula>
    </cfRule>
  </conditionalFormatting>
  <conditionalFormatting sqref="D109">
    <cfRule type="cellIs" dxfId="263" priority="43" operator="greaterThan">
      <formula>49</formula>
    </cfRule>
  </conditionalFormatting>
  <conditionalFormatting sqref="D110">
    <cfRule type="cellIs" dxfId="262" priority="42" operator="greaterThan">
      <formula>49</formula>
    </cfRule>
  </conditionalFormatting>
  <conditionalFormatting sqref="D130">
    <cfRule type="cellIs" dxfId="261" priority="23" operator="greaterThan">
      <formula>49</formula>
    </cfRule>
  </conditionalFormatting>
  <conditionalFormatting sqref="D112">
    <cfRule type="cellIs" dxfId="260" priority="40" operator="greaterThan">
      <formula>49</formula>
    </cfRule>
  </conditionalFormatting>
  <conditionalFormatting sqref="D111">
    <cfRule type="cellIs" dxfId="259" priority="39" operator="greaterThan">
      <formula>49</formula>
    </cfRule>
  </conditionalFormatting>
  <conditionalFormatting sqref="D113">
    <cfRule type="cellIs" dxfId="258" priority="38" operator="greaterThan">
      <formula>49</formula>
    </cfRule>
  </conditionalFormatting>
  <conditionalFormatting sqref="D114">
    <cfRule type="cellIs" dxfId="257" priority="37" operator="greaterThan">
      <formula>49</formula>
    </cfRule>
  </conditionalFormatting>
  <conditionalFormatting sqref="D115">
    <cfRule type="cellIs" dxfId="256" priority="36" operator="greaterThan">
      <formula>49</formula>
    </cfRule>
  </conditionalFormatting>
  <conditionalFormatting sqref="D116">
    <cfRule type="cellIs" dxfId="255" priority="35" operator="greaterThan">
      <formula>49</formula>
    </cfRule>
  </conditionalFormatting>
  <conditionalFormatting sqref="D117">
    <cfRule type="cellIs" dxfId="254" priority="34" operator="greaterThan">
      <formula>49</formula>
    </cfRule>
  </conditionalFormatting>
  <conditionalFormatting sqref="D118">
    <cfRule type="cellIs" dxfId="253" priority="33" operator="greaterThan">
      <formula>49</formula>
    </cfRule>
  </conditionalFormatting>
  <conditionalFormatting sqref="D119">
    <cfRule type="cellIs" dxfId="252" priority="32" operator="greaterThan">
      <formula>49</formula>
    </cfRule>
  </conditionalFormatting>
  <conditionalFormatting sqref="D120">
    <cfRule type="cellIs" dxfId="251" priority="31" operator="greaterThan">
      <formula>49</formula>
    </cfRule>
  </conditionalFormatting>
  <conditionalFormatting sqref="D122">
    <cfRule type="cellIs" dxfId="250" priority="30" operator="greaterThan">
      <formula>49</formula>
    </cfRule>
  </conditionalFormatting>
  <conditionalFormatting sqref="D123">
    <cfRule type="cellIs" dxfId="249" priority="29" operator="greaterThan">
      <formula>49</formula>
    </cfRule>
  </conditionalFormatting>
  <conditionalFormatting sqref="D124">
    <cfRule type="cellIs" dxfId="248" priority="28" operator="greaterThan">
      <formula>49</formula>
    </cfRule>
  </conditionalFormatting>
  <conditionalFormatting sqref="D125">
    <cfRule type="cellIs" dxfId="247" priority="27" operator="greaterThan">
      <formula>49</formula>
    </cfRule>
  </conditionalFormatting>
  <conditionalFormatting sqref="D126">
    <cfRule type="cellIs" dxfId="246" priority="26" operator="greaterThan">
      <formula>49</formula>
    </cfRule>
  </conditionalFormatting>
  <conditionalFormatting sqref="D127">
    <cfRule type="cellIs" dxfId="245" priority="25" operator="greaterThan">
      <formula>49</formula>
    </cfRule>
  </conditionalFormatting>
  <conditionalFormatting sqref="D128">
    <cfRule type="cellIs" dxfId="244" priority="24" operator="greaterThan">
      <formula>49</formula>
    </cfRule>
  </conditionalFormatting>
  <conditionalFormatting sqref="D135">
    <cfRule type="cellIs" dxfId="243" priority="17" operator="greaterThan">
      <formula>49</formula>
    </cfRule>
  </conditionalFormatting>
  <conditionalFormatting sqref="D131">
    <cfRule type="cellIs" dxfId="242" priority="22" operator="greaterThan">
      <formula>49</formula>
    </cfRule>
  </conditionalFormatting>
  <conditionalFormatting sqref="D129">
    <cfRule type="cellIs" dxfId="241" priority="21" operator="greaterThan">
      <formula>49</formula>
    </cfRule>
  </conditionalFormatting>
  <conditionalFormatting sqref="D132">
    <cfRule type="cellIs" dxfId="240" priority="20" operator="greaterThan">
      <formula>49</formula>
    </cfRule>
  </conditionalFormatting>
  <conditionalFormatting sqref="D133">
    <cfRule type="cellIs" dxfId="239" priority="19" operator="greaterThan">
      <formula>49</formula>
    </cfRule>
  </conditionalFormatting>
  <conditionalFormatting sqref="D134">
    <cfRule type="cellIs" dxfId="238" priority="18" operator="greaterThan">
      <formula>49</formula>
    </cfRule>
  </conditionalFormatting>
  <conditionalFormatting sqref="D136">
    <cfRule type="cellIs" dxfId="237" priority="16" operator="greaterThan">
      <formula>49</formula>
    </cfRule>
  </conditionalFormatting>
  <conditionalFormatting sqref="D46">
    <cfRule type="cellIs" dxfId="236" priority="5" operator="greaterThan">
      <formula>49</formula>
    </cfRule>
  </conditionalFormatting>
  <conditionalFormatting sqref="D47">
    <cfRule type="cellIs" dxfId="235" priority="4" operator="greaterThan">
      <formula>49</formula>
    </cfRule>
  </conditionalFormatting>
  <conditionalFormatting sqref="D48">
    <cfRule type="cellIs" dxfId="234" priority="3" operator="greaterThan">
      <formula>49</formula>
    </cfRule>
  </conditionalFormatting>
  <conditionalFormatting sqref="D49">
    <cfRule type="cellIs" dxfId="233" priority="2" operator="greaterThan">
      <formula>49</formula>
    </cfRule>
  </conditionalFormatting>
  <conditionalFormatting sqref="D121">
    <cfRule type="cellIs" dxfId="232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view="pageBreakPreview" zoomScaleNormal="100" zoomScaleSheetLayoutView="100" workbookViewId="0">
      <selection activeCell="K20" sqref="K20"/>
    </sheetView>
  </sheetViews>
  <sheetFormatPr defaultRowHeight="15" x14ac:dyDescent="0.25"/>
  <cols>
    <col min="1" max="1" width="31.7109375" bestFit="1" customWidth="1"/>
    <col min="2" max="2" width="14.5703125" bestFit="1" customWidth="1"/>
    <col min="3" max="3" width="53.28515625" bestFit="1" customWidth="1"/>
    <col min="4" max="4" width="17.7109375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13.42578125" bestFit="1" customWidth="1"/>
    <col min="10" max="10" width="25.28515625" bestFit="1" customWidth="1"/>
    <col min="11" max="12" width="18.28515625" bestFit="1" customWidth="1"/>
    <col min="13" max="13" width="23.7109375" bestFit="1" customWidth="1"/>
    <col min="14" max="14" width="15" bestFit="1" customWidth="1"/>
    <col min="15" max="15" width="39.28515625" bestFit="1" customWidth="1"/>
    <col min="16" max="16" width="15.42578125" bestFit="1" customWidth="1"/>
    <col min="17" max="17" width="23" bestFit="1" customWidth="1"/>
    <col min="18" max="18" width="16.28515625" bestFit="1" customWidth="1"/>
    <col min="19" max="19" width="43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</cols>
  <sheetData>
    <row r="1" spans="1:23" x14ac:dyDescent="0.25">
      <c r="A1" t="s">
        <v>0</v>
      </c>
      <c r="D1" s="1" t="s">
        <v>1</v>
      </c>
    </row>
    <row r="2" spans="1:23" x14ac:dyDescent="0.25">
      <c r="A2" t="s">
        <v>15</v>
      </c>
      <c r="B2" t="s">
        <v>16</v>
      </c>
      <c r="C2" t="s">
        <v>17</v>
      </c>
      <c r="D2" s="2">
        <f t="shared" ref="D2" si="0">LEN(C2)</f>
        <v>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4" t="str">
        <f>BXXPLC1!A5</f>
        <v>BXX</v>
      </c>
      <c r="B3" s="4" t="str">
        <f>BXXPLC1!B5</f>
        <v>Plant</v>
      </c>
      <c r="C3" s="4" t="str">
        <f>BXXPLC1!C5</f>
        <v>Station BXX</v>
      </c>
      <c r="D3" s="2">
        <f>LEN(C3)</f>
        <v>11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3" t="s">
        <v>420</v>
      </c>
      <c r="B4" s="4" t="str">
        <f>A3</f>
        <v>BXX</v>
      </c>
      <c r="C4" s="3" t="s">
        <v>393</v>
      </c>
      <c r="D4" s="2">
        <f>LEN(C4)</f>
        <v>20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4" t="str">
        <f>BXXPLC1!A7</f>
        <v>BXX_DSAB</v>
      </c>
      <c r="B5" s="4" t="str">
        <f>BXXPLC1!B7</f>
        <v>Disabled_Alarms</v>
      </c>
      <c r="C5" s="4" t="str">
        <f>BXXPLC1!C7</f>
        <v>BXX Disabled Alarms</v>
      </c>
      <c r="D5" s="2">
        <f>LEN(C5)</f>
        <v>19</v>
      </c>
      <c r="E5" t="s">
        <v>13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t="s">
        <v>603</v>
      </c>
      <c r="B6" t="s">
        <v>16</v>
      </c>
      <c r="C6" t="s">
        <v>17</v>
      </c>
      <c r="D6" s="2"/>
      <c r="E6" t="s">
        <v>39</v>
      </c>
      <c r="F6" t="s">
        <v>18</v>
      </c>
      <c r="G6" t="s">
        <v>19</v>
      </c>
      <c r="H6" t="s">
        <v>40</v>
      </c>
      <c r="I6" t="s">
        <v>41</v>
      </c>
      <c r="J6" t="s">
        <v>42</v>
      </c>
      <c r="K6" t="s">
        <v>43</v>
      </c>
      <c r="L6" t="s">
        <v>44</v>
      </c>
      <c r="M6" t="s">
        <v>45</v>
      </c>
      <c r="N6" t="s">
        <v>46</v>
      </c>
      <c r="O6" t="s">
        <v>47</v>
      </c>
      <c r="P6" t="s">
        <v>48</v>
      </c>
      <c r="Q6" t="s">
        <v>49</v>
      </c>
      <c r="R6" t="s">
        <v>50</v>
      </c>
      <c r="S6" t="s">
        <v>51</v>
      </c>
      <c r="T6" t="s">
        <v>52</v>
      </c>
      <c r="U6" t="s">
        <v>27</v>
      </c>
      <c r="V6" t="s">
        <v>35</v>
      </c>
      <c r="W6" t="s">
        <v>53</v>
      </c>
    </row>
    <row r="7" spans="1:23" x14ac:dyDescent="0.25">
      <c r="A7" s="4" t="str">
        <f>$A$3&amp;"_PSB1_KS1_DI_DE"</f>
        <v>BXX_PSB1_KS1_DI_DE</v>
      </c>
      <c r="B7" s="4" t="str">
        <f>$A$4</f>
        <v>BXX_STN1_KS1</v>
      </c>
      <c r="C7" s="4" t="str">
        <f>$C$3&amp;" Security Keyswitch"</f>
        <v>Station BXX Security Keyswitch</v>
      </c>
      <c r="D7" s="2">
        <f t="shared" ref="D7:D20" si="1">LEN(C7)</f>
        <v>30</v>
      </c>
      <c r="E7" t="s">
        <v>13</v>
      </c>
      <c r="F7" t="s">
        <v>14</v>
      </c>
      <c r="G7">
        <v>700</v>
      </c>
      <c r="H7" t="s">
        <v>13</v>
      </c>
      <c r="I7" t="s">
        <v>54</v>
      </c>
      <c r="J7" t="s">
        <v>390</v>
      </c>
      <c r="K7" t="s">
        <v>389</v>
      </c>
      <c r="L7" t="s">
        <v>56</v>
      </c>
      <c r="M7" s="5">
        <v>1</v>
      </c>
      <c r="N7" t="s">
        <v>57</v>
      </c>
      <c r="O7" s="4" t="str">
        <f>BXXPLC1!$C$3</f>
        <v>BXX</v>
      </c>
      <c r="P7" t="s">
        <v>14</v>
      </c>
      <c r="Q7" s="4" t="str">
        <f>A7&amp;".eng"</f>
        <v>BXX_PSB1_KS1_DI_DE.eng</v>
      </c>
      <c r="R7" t="s">
        <v>14</v>
      </c>
      <c r="S7" s="4" t="str">
        <f t="shared" ref="S7:S17" si="2">C7</f>
        <v>Station BXX Security Keyswitch</v>
      </c>
      <c r="T7">
        <v>0</v>
      </c>
      <c r="U7">
        <v>0</v>
      </c>
    </row>
    <row r="8" spans="1:23" x14ac:dyDescent="0.25">
      <c r="A8" s="4" t="str">
        <f>$A$3&amp;"_DR01_TO1_DI_SI"</f>
        <v>BXX_DR01_TO1_DI_SI</v>
      </c>
      <c r="B8" s="4" t="str">
        <f t="shared" ref="B8:B17" si="3">$A$4</f>
        <v>BXX_STN1_KS1</v>
      </c>
      <c r="C8" s="4" t="str">
        <f>$C$3&amp;" Door Contact"</f>
        <v>Station BXX Door Contact</v>
      </c>
      <c r="D8" s="2">
        <f t="shared" si="1"/>
        <v>24</v>
      </c>
      <c r="E8" t="s">
        <v>13</v>
      </c>
      <c r="F8" t="s">
        <v>14</v>
      </c>
      <c r="G8">
        <v>700</v>
      </c>
      <c r="H8" t="s">
        <v>13</v>
      </c>
      <c r="I8" t="s">
        <v>54</v>
      </c>
      <c r="J8" t="s">
        <v>391</v>
      </c>
      <c r="K8" t="s">
        <v>392</v>
      </c>
      <c r="L8" t="s">
        <v>56</v>
      </c>
      <c r="M8" s="5">
        <v>1</v>
      </c>
      <c r="N8" t="s">
        <v>57</v>
      </c>
      <c r="O8" s="4" t="str">
        <f>BXXPLC1!$C$3</f>
        <v>BXX</v>
      </c>
      <c r="P8" t="s">
        <v>14</v>
      </c>
      <c r="Q8" s="4" t="str">
        <f>A8&amp;".eng"</f>
        <v>BXX_DR01_TO1_DI_SI.eng</v>
      </c>
      <c r="R8" t="s">
        <v>14</v>
      </c>
      <c r="S8" s="4" t="str">
        <f t="shared" si="2"/>
        <v>Station BXX Door Contact</v>
      </c>
      <c r="T8">
        <v>0</v>
      </c>
      <c r="U8">
        <v>0</v>
      </c>
    </row>
    <row r="9" spans="1:23" x14ac:dyDescent="0.25">
      <c r="A9" s="4" t="str">
        <f>$A$3&amp;"_STN1_TO1_DI_SI"</f>
        <v>BXX_STN1_TO1_DI_SI</v>
      </c>
      <c r="B9" s="4" t="str">
        <f t="shared" si="3"/>
        <v>BXX_STN1_KS1</v>
      </c>
      <c r="C9" s="4" t="str">
        <f>$C$3&amp;" Security Monitor"</f>
        <v>Station BXX Security Monitor</v>
      </c>
      <c r="D9" s="2">
        <f t="shared" si="1"/>
        <v>28</v>
      </c>
      <c r="E9" t="s">
        <v>13</v>
      </c>
      <c r="F9" t="s">
        <v>14</v>
      </c>
      <c r="G9">
        <v>700</v>
      </c>
      <c r="H9" t="s">
        <v>13</v>
      </c>
      <c r="I9" t="s">
        <v>54</v>
      </c>
      <c r="J9" t="s">
        <v>389</v>
      </c>
      <c r="K9" t="s">
        <v>390</v>
      </c>
      <c r="L9" t="s">
        <v>56</v>
      </c>
      <c r="M9" s="5">
        <v>1</v>
      </c>
      <c r="N9" t="s">
        <v>57</v>
      </c>
      <c r="O9" s="4" t="str">
        <f>BXXPLC1!$C$3</f>
        <v>BXX</v>
      </c>
      <c r="P9" t="s">
        <v>14</v>
      </c>
      <c r="Q9" s="4" t="str">
        <f>A9&amp;".eng"</f>
        <v>BXX_STN1_TO1_DI_SI.eng</v>
      </c>
      <c r="R9" t="s">
        <v>14</v>
      </c>
      <c r="S9" s="4" t="str">
        <f t="shared" si="2"/>
        <v>Station BXX Security Monitor</v>
      </c>
      <c r="T9">
        <v>0</v>
      </c>
      <c r="U9">
        <v>0</v>
      </c>
    </row>
    <row r="10" spans="1:23" x14ac:dyDescent="0.25">
      <c r="A10" s="4" t="str">
        <f>$A$3&amp;"_STN1_TO1_DA_EA"</f>
        <v>BXX_STN1_TO1_DA_EA</v>
      </c>
      <c r="B10" s="4" t="str">
        <f t="shared" si="3"/>
        <v>BXX_STN1_KS1</v>
      </c>
      <c r="C10" s="4" t="str">
        <f>$C$3&amp;" Legal Entry"</f>
        <v>Station BXX Legal Entry</v>
      </c>
      <c r="D10" s="2">
        <f t="shared" si="1"/>
        <v>23</v>
      </c>
      <c r="E10" t="s">
        <v>14</v>
      </c>
      <c r="F10" t="s">
        <v>14</v>
      </c>
      <c r="G10">
        <v>0</v>
      </c>
      <c r="H10" t="s">
        <v>13</v>
      </c>
      <c r="I10" t="s">
        <v>54</v>
      </c>
      <c r="J10" t="s">
        <v>62</v>
      </c>
      <c r="K10" t="s">
        <v>119</v>
      </c>
      <c r="L10" t="s">
        <v>61</v>
      </c>
      <c r="M10" s="5">
        <v>20</v>
      </c>
      <c r="N10" t="s">
        <v>57</v>
      </c>
      <c r="O10" s="4" t="str">
        <f>BXXPLC1!$C$3</f>
        <v>BXX</v>
      </c>
      <c r="P10" t="s">
        <v>14</v>
      </c>
      <c r="Q10" s="4" t="str">
        <f>A10&amp;".eng"</f>
        <v>BXX_STN1_TO1_DA_EA.eng</v>
      </c>
      <c r="R10" t="s">
        <v>14</v>
      </c>
      <c r="S10" s="4" t="str">
        <f t="shared" si="2"/>
        <v>Station BXX Legal Entry</v>
      </c>
      <c r="T10">
        <v>0</v>
      </c>
      <c r="U10">
        <v>0</v>
      </c>
    </row>
    <row r="11" spans="1:23" x14ac:dyDescent="0.25">
      <c r="A11" s="4" t="str">
        <f>LEFT(A10,12)&amp;"_PB_"&amp;RIGHT(A10,2)&amp;"_RE"</f>
        <v>BXX_STN1_TO1_PB_EA_RE</v>
      </c>
      <c r="B11" s="4" t="str">
        <f t="shared" si="3"/>
        <v>BXX_STN1_KS1</v>
      </c>
      <c r="C11" s="4" t="str">
        <f>C10 &amp;" Enable"</f>
        <v>Station BXX Legal Entry Enable</v>
      </c>
      <c r="D11" s="2">
        <f t="shared" si="1"/>
        <v>30</v>
      </c>
      <c r="E11" t="s">
        <v>14</v>
      </c>
      <c r="F11" t="s">
        <v>13</v>
      </c>
      <c r="G11">
        <v>600</v>
      </c>
      <c r="H11" t="s">
        <v>13</v>
      </c>
      <c r="I11" t="s">
        <v>54</v>
      </c>
      <c r="J11" t="s">
        <v>60</v>
      </c>
      <c r="K11" t="s">
        <v>59</v>
      </c>
      <c r="L11" t="s">
        <v>56</v>
      </c>
      <c r="M11" s="5">
        <v>1</v>
      </c>
      <c r="N11" t="s">
        <v>57</v>
      </c>
      <c r="O11" s="4" t="str">
        <f t="shared" ref="O11:O17" si="4">$O$7</f>
        <v>BXX</v>
      </c>
      <c r="P11" t="s">
        <v>14</v>
      </c>
      <c r="Q11" s="4" t="str">
        <f>A10&amp;".RE"</f>
        <v>BXX_STN1_TO1_DA_EA.RE</v>
      </c>
      <c r="R11" t="s">
        <v>14</v>
      </c>
      <c r="S11" s="4" t="str">
        <f t="shared" si="2"/>
        <v>Station BXX Legal Entry Enable</v>
      </c>
      <c r="T11">
        <v>0</v>
      </c>
      <c r="U11">
        <v>0</v>
      </c>
    </row>
    <row r="12" spans="1:23" x14ac:dyDescent="0.25">
      <c r="A12" s="4" t="str">
        <f>LEFT(A10,12)&amp;"_PB_"&amp;RIGHT(A10,2)&amp;"_DE"</f>
        <v>BXX_STN1_TO1_PB_EA_DE</v>
      </c>
      <c r="B12" s="4" t="str">
        <f t="shared" si="3"/>
        <v>BXX_STN1_KS1</v>
      </c>
      <c r="C12" s="4" t="str">
        <f>$C10&amp;" Dialer En"</f>
        <v>Station BXX Legal Entry Dialer En</v>
      </c>
      <c r="D12" s="2">
        <f t="shared" si="1"/>
        <v>33</v>
      </c>
      <c r="E12" t="s">
        <v>14</v>
      </c>
      <c r="F12" t="s">
        <v>13</v>
      </c>
      <c r="G12">
        <v>600</v>
      </c>
      <c r="H12" t="s">
        <v>13</v>
      </c>
      <c r="I12" t="s">
        <v>54</v>
      </c>
      <c r="J12" t="s">
        <v>60</v>
      </c>
      <c r="K12" t="s">
        <v>59</v>
      </c>
      <c r="L12" t="s">
        <v>56</v>
      </c>
      <c r="M12" s="5">
        <v>1</v>
      </c>
      <c r="N12" t="s">
        <v>57</v>
      </c>
      <c r="O12" s="4" t="str">
        <f t="shared" si="4"/>
        <v>BXX</v>
      </c>
      <c r="P12" t="s">
        <v>14</v>
      </c>
      <c r="Q12" s="4" t="str">
        <f>A10&amp;".DE"</f>
        <v>BXX_STN1_TO1_DA_EA.DE</v>
      </c>
      <c r="R12" t="s">
        <v>14</v>
      </c>
      <c r="S12" s="4" t="str">
        <f t="shared" si="2"/>
        <v>Station BXX Legal Entry Dialer En</v>
      </c>
      <c r="T12">
        <v>0</v>
      </c>
      <c r="U12">
        <v>0</v>
      </c>
    </row>
    <row r="13" spans="1:23" x14ac:dyDescent="0.25">
      <c r="A13" s="4" t="str">
        <f>LEFT(A10,12)&amp;"_PB_"&amp;RIGHT(A10,2)&amp;"_SR"</f>
        <v>BXX_STN1_TO1_PB_EA_SR</v>
      </c>
      <c r="B13" s="4" t="str">
        <f t="shared" si="3"/>
        <v>BXX_STN1_KS1</v>
      </c>
      <c r="C13" s="4" t="str">
        <f>$C10&amp;" Super En"</f>
        <v>Station BXX Legal Entry Super En</v>
      </c>
      <c r="D13" s="2">
        <f t="shared" si="1"/>
        <v>32</v>
      </c>
      <c r="E13" t="s">
        <v>14</v>
      </c>
      <c r="F13" t="s">
        <v>13</v>
      </c>
      <c r="G13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 s="5">
        <v>1</v>
      </c>
      <c r="N13" t="s">
        <v>57</v>
      </c>
      <c r="O13" s="4" t="str">
        <f t="shared" si="4"/>
        <v>BXX</v>
      </c>
      <c r="P13" t="s">
        <v>14</v>
      </c>
      <c r="Q13" s="4" t="str">
        <f>A10&amp;".SR"</f>
        <v>BXX_STN1_TO1_DA_EA.SR</v>
      </c>
      <c r="R13" t="s">
        <v>14</v>
      </c>
      <c r="S13" s="4" t="str">
        <f t="shared" si="2"/>
        <v>Station BXX Legal Entry Super En</v>
      </c>
      <c r="T13">
        <v>0</v>
      </c>
      <c r="U13">
        <v>0</v>
      </c>
    </row>
    <row r="14" spans="1:23" x14ac:dyDescent="0.25">
      <c r="A14" s="4" t="str">
        <f>$A$3&amp;"_STN1_TO1_DA_SI"</f>
        <v>BXX_STN1_TO1_DA_SI</v>
      </c>
      <c r="B14" s="4" t="str">
        <f t="shared" si="3"/>
        <v>BXX_STN1_KS1</v>
      </c>
      <c r="C14" s="4" t="str">
        <f>$C$3&amp;" Illegal Entry"</f>
        <v>Station BXX Illegal Entry</v>
      </c>
      <c r="D14" s="2">
        <f t="shared" si="1"/>
        <v>25</v>
      </c>
      <c r="E14" t="s">
        <v>14</v>
      </c>
      <c r="F14" t="s">
        <v>14</v>
      </c>
      <c r="G14">
        <v>0</v>
      </c>
      <c r="H14" t="s">
        <v>13</v>
      </c>
      <c r="I14" t="s">
        <v>54</v>
      </c>
      <c r="J14" t="s">
        <v>62</v>
      </c>
      <c r="K14" t="s">
        <v>119</v>
      </c>
      <c r="L14" t="s">
        <v>61</v>
      </c>
      <c r="M14" s="5">
        <v>20</v>
      </c>
      <c r="N14" t="s">
        <v>57</v>
      </c>
      <c r="O14" s="4" t="str">
        <f t="shared" si="4"/>
        <v>BXX</v>
      </c>
      <c r="P14" t="s">
        <v>14</v>
      </c>
      <c r="Q14" s="4" t="str">
        <f>A14&amp;".eng"</f>
        <v>BXX_STN1_TO1_DA_SI.eng</v>
      </c>
      <c r="R14" t="s">
        <v>14</v>
      </c>
      <c r="S14" s="4" t="str">
        <f t="shared" si="2"/>
        <v>Station BXX Illegal Entry</v>
      </c>
      <c r="T14">
        <v>0</v>
      </c>
      <c r="U14">
        <v>0</v>
      </c>
    </row>
    <row r="15" spans="1:23" x14ac:dyDescent="0.25">
      <c r="A15" s="4" t="str">
        <f>LEFT(A14,12)&amp;"_PB_"&amp;RIGHT(A14,2)&amp;"_RE"</f>
        <v>BXX_STN1_TO1_PB_SI_RE</v>
      </c>
      <c r="B15" s="4" t="str">
        <f t="shared" si="3"/>
        <v>BXX_STN1_KS1</v>
      </c>
      <c r="C15" s="4" t="str">
        <f>C14 &amp;" Enable"</f>
        <v>Station BXX Illegal Entry Enable</v>
      </c>
      <c r="D15" s="2">
        <f t="shared" si="1"/>
        <v>32</v>
      </c>
      <c r="E15" t="s">
        <v>14</v>
      </c>
      <c r="F15" t="s">
        <v>13</v>
      </c>
      <c r="G1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 s="5">
        <v>1</v>
      </c>
      <c r="N15" t="s">
        <v>57</v>
      </c>
      <c r="O15" s="4" t="str">
        <f t="shared" si="4"/>
        <v>BXX</v>
      </c>
      <c r="P15" t="s">
        <v>14</v>
      </c>
      <c r="Q15" s="4" t="str">
        <f>A14&amp;".RE"</f>
        <v>BXX_STN1_TO1_DA_SI.RE</v>
      </c>
      <c r="R15" t="s">
        <v>14</v>
      </c>
      <c r="S15" s="4" t="str">
        <f t="shared" si="2"/>
        <v>Station BXX Illegal Entry Enable</v>
      </c>
      <c r="T15">
        <v>0</v>
      </c>
      <c r="U15">
        <v>0</v>
      </c>
    </row>
    <row r="16" spans="1:23" x14ac:dyDescent="0.25">
      <c r="A16" s="4" t="str">
        <f>LEFT(A14,12)&amp;"_PB_"&amp;RIGHT(A14,2)&amp;"_DE"</f>
        <v>BXX_STN1_TO1_PB_SI_DE</v>
      </c>
      <c r="B16" s="4" t="str">
        <f t="shared" si="3"/>
        <v>BXX_STN1_KS1</v>
      </c>
      <c r="C16" s="4" t="str">
        <f>$C14&amp;" Dialer En"</f>
        <v>Station BXX Illegal Entry Dialer En</v>
      </c>
      <c r="D16" s="2">
        <f t="shared" si="1"/>
        <v>35</v>
      </c>
      <c r="E16" t="s">
        <v>14</v>
      </c>
      <c r="F16" t="s">
        <v>13</v>
      </c>
      <c r="G16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 s="5">
        <v>1</v>
      </c>
      <c r="N16" t="s">
        <v>57</v>
      </c>
      <c r="O16" s="4" t="str">
        <f t="shared" si="4"/>
        <v>BXX</v>
      </c>
      <c r="P16" t="s">
        <v>14</v>
      </c>
      <c r="Q16" s="4" t="str">
        <f>A14&amp;".DE"</f>
        <v>BXX_STN1_TO1_DA_SI.DE</v>
      </c>
      <c r="R16" t="s">
        <v>14</v>
      </c>
      <c r="S16" s="4" t="str">
        <f t="shared" si="2"/>
        <v>Station BXX Illegal Entry Dialer En</v>
      </c>
      <c r="T16">
        <v>0</v>
      </c>
      <c r="U16">
        <v>0</v>
      </c>
    </row>
    <row r="17" spans="1:21" x14ac:dyDescent="0.25">
      <c r="A17" s="4" t="str">
        <f>LEFT(A14,12)&amp;"_PB_"&amp;RIGHT(A14,2)&amp;"_SR"</f>
        <v>BXX_STN1_TO1_PB_SI_SR</v>
      </c>
      <c r="B17" s="4" t="str">
        <f t="shared" si="3"/>
        <v>BXX_STN1_KS1</v>
      </c>
      <c r="C17" s="4" t="str">
        <f>$C14&amp;" Super En"</f>
        <v>Station BXX Illegal Entry Super En</v>
      </c>
      <c r="D17" s="2">
        <f t="shared" si="1"/>
        <v>34</v>
      </c>
      <c r="E17" t="s">
        <v>14</v>
      </c>
      <c r="F17" t="s">
        <v>13</v>
      </c>
      <c r="G17">
        <v>600</v>
      </c>
      <c r="H17" t="s">
        <v>13</v>
      </c>
      <c r="I17" t="s">
        <v>54</v>
      </c>
      <c r="J17" t="s">
        <v>60</v>
      </c>
      <c r="K17" t="s">
        <v>59</v>
      </c>
      <c r="L17" t="s">
        <v>56</v>
      </c>
      <c r="M17" s="5">
        <v>1</v>
      </c>
      <c r="N17" t="s">
        <v>57</v>
      </c>
      <c r="O17" s="4" t="str">
        <f t="shared" si="4"/>
        <v>BXX</v>
      </c>
      <c r="P17" t="s">
        <v>14</v>
      </c>
      <c r="Q17" s="4" t="str">
        <f>A14&amp;".SR"</f>
        <v>BXX_STN1_TO1_DA_SI.SR</v>
      </c>
      <c r="R17" t="s">
        <v>14</v>
      </c>
      <c r="S17" s="4" t="str">
        <f t="shared" si="2"/>
        <v>Station BXX Illegal Entry Super En</v>
      </c>
      <c r="T17">
        <v>0</v>
      </c>
      <c r="U17">
        <v>0</v>
      </c>
    </row>
    <row r="18" spans="1:21" x14ac:dyDescent="0.25">
      <c r="A18" t="s">
        <v>130</v>
      </c>
      <c r="B18" t="s">
        <v>16</v>
      </c>
      <c r="C18" t="s">
        <v>17</v>
      </c>
      <c r="D18" s="2">
        <f t="shared" si="1"/>
        <v>7</v>
      </c>
      <c r="E18" t="s">
        <v>39</v>
      </c>
      <c r="F18" t="s">
        <v>18</v>
      </c>
      <c r="G18" t="s">
        <v>19</v>
      </c>
      <c r="H18" t="s">
        <v>40</v>
      </c>
      <c r="I18" t="s">
        <v>124</v>
      </c>
      <c r="J18" t="s">
        <v>125</v>
      </c>
      <c r="K18" t="s">
        <v>47</v>
      </c>
      <c r="L18" t="s">
        <v>48</v>
      </c>
      <c r="M18" t="s">
        <v>49</v>
      </c>
      <c r="N18" t="s">
        <v>50</v>
      </c>
      <c r="O18" t="s">
        <v>51</v>
      </c>
      <c r="P18" t="s">
        <v>53</v>
      </c>
    </row>
    <row r="19" spans="1:21" x14ac:dyDescent="0.25">
      <c r="A19" s="4" t="str">
        <f>LEFT($A$10,12)&amp;"_PB_"&amp;RIGHT($A$10,2)&amp;"_RN"</f>
        <v>BXX_STN1_TO1_PB_EA_RN</v>
      </c>
      <c r="B19" s="4" t="str">
        <f>$A$3</f>
        <v>BXX</v>
      </c>
      <c r="C19" s="4" t="str">
        <f>$C$10 &amp; " Dis Reason"</f>
        <v>Station BXX Legal Entry Dis Reason</v>
      </c>
      <c r="D19" s="2">
        <f t="shared" si="1"/>
        <v>34</v>
      </c>
      <c r="E19" t="s">
        <v>14</v>
      </c>
      <c r="F19" t="s">
        <v>14</v>
      </c>
      <c r="G19">
        <v>0</v>
      </c>
      <c r="H19" t="s">
        <v>13</v>
      </c>
      <c r="I19">
        <v>131</v>
      </c>
      <c r="J19" t="s">
        <v>131</v>
      </c>
      <c r="K19" s="5" t="s">
        <v>630</v>
      </c>
      <c r="L19" t="s">
        <v>13</v>
      </c>
      <c r="M19" s="4" t="str">
        <f>A19</f>
        <v>BXX_STN1_TO1_PB_EA_RN</v>
      </c>
      <c r="N19" t="s">
        <v>14</v>
      </c>
      <c r="O19" s="4" t="str">
        <f>C19</f>
        <v>Station BXX Legal Entry Dis Reason</v>
      </c>
    </row>
    <row r="20" spans="1:21" x14ac:dyDescent="0.25">
      <c r="A20" s="4" t="str">
        <f>LEFT($A$14,12)&amp;"_PB_"&amp;RIGHT($A$14,2)&amp;"_RN"</f>
        <v>BXX_STN1_TO1_PB_SI_RN</v>
      </c>
      <c r="B20" s="4" t="str">
        <f>$A$3</f>
        <v>BXX</v>
      </c>
      <c r="C20" s="4" t="str">
        <f>$C$14 &amp; " Dis Reason"</f>
        <v>Station BXX Illegal Entry Dis Reason</v>
      </c>
      <c r="D20" s="2">
        <f t="shared" si="1"/>
        <v>36</v>
      </c>
      <c r="E20" t="s">
        <v>14</v>
      </c>
      <c r="F20" t="s">
        <v>14</v>
      </c>
      <c r="G20">
        <v>0</v>
      </c>
      <c r="H20" t="s">
        <v>13</v>
      </c>
      <c r="I20">
        <v>131</v>
      </c>
      <c r="J20" t="s">
        <v>131</v>
      </c>
      <c r="K20" s="5" t="s">
        <v>630</v>
      </c>
      <c r="L20" t="s">
        <v>13</v>
      </c>
      <c r="M20" s="4" t="str">
        <f>A20</f>
        <v>BXX_STN1_TO1_PB_SI_RN</v>
      </c>
      <c r="N20" t="s">
        <v>14</v>
      </c>
      <c r="O20" s="4" t="str">
        <f>C20</f>
        <v>Station BXX Illegal Entry Dis Reason</v>
      </c>
    </row>
  </sheetData>
  <conditionalFormatting sqref="D2">
    <cfRule type="cellIs" dxfId="231" priority="19" operator="greaterThan">
      <formula>49</formula>
    </cfRule>
  </conditionalFormatting>
  <conditionalFormatting sqref="D3">
    <cfRule type="cellIs" dxfId="230" priority="18" operator="greaterThan">
      <formula>49</formula>
    </cfRule>
  </conditionalFormatting>
  <conditionalFormatting sqref="D5">
    <cfRule type="cellIs" dxfId="229" priority="17" operator="greaterThan">
      <formula>49</formula>
    </cfRule>
  </conditionalFormatting>
  <conditionalFormatting sqref="D14">
    <cfRule type="cellIs" dxfId="228" priority="8" operator="greaterThan">
      <formula>49</formula>
    </cfRule>
  </conditionalFormatting>
  <conditionalFormatting sqref="D7">
    <cfRule type="cellIs" dxfId="227" priority="15" operator="greaterThan">
      <formula>49</formula>
    </cfRule>
  </conditionalFormatting>
  <conditionalFormatting sqref="D8">
    <cfRule type="cellIs" dxfId="226" priority="14" operator="greaterThan">
      <formula>49</formula>
    </cfRule>
  </conditionalFormatting>
  <conditionalFormatting sqref="D9">
    <cfRule type="cellIs" dxfId="225" priority="13" operator="greaterThan">
      <formula>49</formula>
    </cfRule>
  </conditionalFormatting>
  <conditionalFormatting sqref="D12">
    <cfRule type="cellIs" dxfId="224" priority="10" operator="greaterThan">
      <formula>49</formula>
    </cfRule>
  </conditionalFormatting>
  <conditionalFormatting sqref="D10">
    <cfRule type="cellIs" dxfId="223" priority="12" operator="greaterThan">
      <formula>49</formula>
    </cfRule>
  </conditionalFormatting>
  <conditionalFormatting sqref="D11">
    <cfRule type="cellIs" dxfId="222" priority="11" operator="greaterThan">
      <formula>49</formula>
    </cfRule>
  </conditionalFormatting>
  <conditionalFormatting sqref="D13">
    <cfRule type="cellIs" dxfId="221" priority="9" operator="greaterThan">
      <formula>49</formula>
    </cfRule>
  </conditionalFormatting>
  <conditionalFormatting sqref="D16">
    <cfRule type="cellIs" dxfId="220" priority="6" operator="greaterThan">
      <formula>49</formula>
    </cfRule>
  </conditionalFormatting>
  <conditionalFormatting sqref="D4">
    <cfRule type="cellIs" dxfId="219" priority="4" operator="greaterThan">
      <formula>49</formula>
    </cfRule>
  </conditionalFormatting>
  <conditionalFormatting sqref="D15">
    <cfRule type="cellIs" dxfId="218" priority="7" operator="greaterThan">
      <formula>49</formula>
    </cfRule>
  </conditionalFormatting>
  <conditionalFormatting sqref="D17">
    <cfRule type="cellIs" dxfId="217" priority="5" operator="greaterThan">
      <formula>49</formula>
    </cfRule>
  </conditionalFormatting>
  <conditionalFormatting sqref="D18">
    <cfRule type="cellIs" dxfId="216" priority="3" operator="greaterThan">
      <formula>49</formula>
    </cfRule>
  </conditionalFormatting>
  <conditionalFormatting sqref="D19">
    <cfRule type="cellIs" dxfId="215" priority="2" operator="greaterThan">
      <formula>49</formula>
    </cfRule>
  </conditionalFormatting>
  <conditionalFormatting sqref="D20">
    <cfRule type="cellIs" dxfId="214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view="pageBreakPreview" zoomScale="110" zoomScaleNormal="100" zoomScaleSheetLayoutView="110" workbookViewId="0">
      <selection activeCell="Q6" sqref="Q6"/>
    </sheetView>
  </sheetViews>
  <sheetFormatPr defaultRowHeight="15" x14ac:dyDescent="0.25"/>
  <cols>
    <col min="1" max="1" width="31.7109375" bestFit="1" customWidth="1"/>
    <col min="2" max="2" width="14.5703125" bestFit="1" customWidth="1"/>
    <col min="3" max="3" width="53.28515625" bestFit="1" customWidth="1"/>
    <col min="4" max="4" width="17.7109375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13.42578125" bestFit="1" customWidth="1"/>
    <col min="10" max="10" width="25.28515625" bestFit="1" customWidth="1"/>
    <col min="11" max="12" width="18.28515625" bestFit="1" customWidth="1"/>
    <col min="13" max="13" width="19.5703125" bestFit="1" customWidth="1"/>
    <col min="14" max="14" width="15" bestFit="1" customWidth="1"/>
    <col min="15" max="15" width="39.28515625" bestFit="1" customWidth="1"/>
    <col min="16" max="16" width="15.42578125" bestFit="1" customWidth="1"/>
    <col min="17" max="17" width="23" bestFit="1" customWidth="1"/>
    <col min="18" max="18" width="16.28515625" bestFit="1" customWidth="1"/>
    <col min="19" max="19" width="43.710937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</cols>
  <sheetData>
    <row r="1" spans="1:23" x14ac:dyDescent="0.25">
      <c r="A1" t="s">
        <v>0</v>
      </c>
      <c r="D1" s="1" t="s">
        <v>1</v>
      </c>
    </row>
    <row r="2" spans="1:23" x14ac:dyDescent="0.25">
      <c r="A2" t="s">
        <v>15</v>
      </c>
      <c r="B2" t="s">
        <v>16</v>
      </c>
      <c r="C2" t="s">
        <v>17</v>
      </c>
      <c r="D2" s="2">
        <f t="shared" ref="D2" si="0">LEN(C2)</f>
        <v>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4" t="str">
        <f>BXXPLC1!A5</f>
        <v>BXX</v>
      </c>
      <c r="B3" s="4" t="str">
        <f>BXXPLC1!B5</f>
        <v>Plant</v>
      </c>
      <c r="C3" s="4" t="str">
        <f>BXXPLC1!C5</f>
        <v>Station BXX</v>
      </c>
      <c r="D3" s="2">
        <f>LEN(C3)</f>
        <v>11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38</v>
      </c>
      <c r="B5" t="s">
        <v>16</v>
      </c>
      <c r="C5" t="s">
        <v>17</v>
      </c>
      <c r="D5" s="2"/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$A$3&amp;"_BPC1_LM1_DA_RS"</f>
        <v>BXX_BPC1_LM1_DA_RS</v>
      </c>
      <c r="B6" s="4" t="str">
        <f t="shared" ref="B6" si="1">$A$3</f>
        <v>BXX</v>
      </c>
      <c r="C6" s="4" t="str">
        <f>$C$3&amp;" on Backup Control"</f>
        <v>Station BXX on Backup Control</v>
      </c>
      <c r="D6" s="2">
        <f t="shared" ref="D6" si="2">LEN(C6)</f>
        <v>29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62</v>
      </c>
      <c r="K6" t="s">
        <v>119</v>
      </c>
      <c r="L6" t="s">
        <v>61</v>
      </c>
      <c r="M6" s="5">
        <v>20</v>
      </c>
      <c r="N6" t="s">
        <v>57</v>
      </c>
      <c r="O6" s="4" t="str">
        <f>BXXPLC1!$C$3</f>
        <v>BXX</v>
      </c>
      <c r="P6" t="s">
        <v>14</v>
      </c>
      <c r="Q6" s="4" t="str">
        <f>A6&amp;".eng"</f>
        <v>BXX_BPC1_LM1_DA_RS.eng</v>
      </c>
      <c r="R6" t="s">
        <v>14</v>
      </c>
      <c r="S6" s="4" t="str">
        <f t="shared" ref="S6" si="3">C6</f>
        <v>Station BXX on Backup Control</v>
      </c>
      <c r="T6">
        <v>0</v>
      </c>
      <c r="U6">
        <v>0</v>
      </c>
    </row>
  </sheetData>
  <conditionalFormatting sqref="D2">
    <cfRule type="cellIs" dxfId="213" priority="110" operator="greaterThan">
      <formula>49</formula>
    </cfRule>
  </conditionalFormatting>
  <conditionalFormatting sqref="D3">
    <cfRule type="cellIs" dxfId="212" priority="109" operator="greaterThan">
      <formula>49</formula>
    </cfRule>
  </conditionalFormatting>
  <conditionalFormatting sqref="D4">
    <cfRule type="cellIs" dxfId="211" priority="108" operator="greaterThan">
      <formula>49</formula>
    </cfRule>
  </conditionalFormatting>
  <conditionalFormatting sqref="D6">
    <cfRule type="cellIs" dxfId="210" priority="87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E30" zoomScale="90" zoomScaleNormal="100" zoomScaleSheetLayoutView="90" workbookViewId="0">
      <selection activeCell="K50" sqref="K50"/>
    </sheetView>
  </sheetViews>
  <sheetFormatPr defaultRowHeight="15" x14ac:dyDescent="0.25"/>
  <cols>
    <col min="1" max="1" width="38.5703125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4.14062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421</v>
      </c>
      <c r="B3" s="4" t="str">
        <f>BXXPLC1!A5</f>
        <v>BXX</v>
      </c>
      <c r="C3" s="3" t="s">
        <v>267</v>
      </c>
      <c r="D3" s="2">
        <f>LEN(C3)</f>
        <v>19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38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BXX_DIH1_PI1_DI_AD</v>
      </c>
      <c r="B6" s="4" t="str">
        <f>$A$4</f>
        <v>BXX_DSAB</v>
      </c>
      <c r="C6" s="4" t="str">
        <f>$C$3 &amp; " Disabled Analog Alarm"</f>
        <v>BXX Disch. Pressure Disabled Analog Alarm</v>
      </c>
      <c r="D6" s="2">
        <f>LEN(C6)</f>
        <v>41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BXX_DIH1_PI1.DI_AD</v>
      </c>
      <c r="R6" t="s">
        <v>14</v>
      </c>
      <c r="S6" s="4" t="str">
        <f>C6</f>
        <v>BXX Disch. Pressure Disabled Analog Alarm</v>
      </c>
      <c r="T6">
        <v>0</v>
      </c>
      <c r="U6">
        <v>0</v>
      </c>
    </row>
    <row r="7" spans="1:23" x14ac:dyDescent="0.25">
      <c r="A7" s="4" t="str">
        <f>$A$3&amp;"_DI_SC"</f>
        <v>BXX_DIH1_PI1_DI_SC</v>
      </c>
      <c r="B7" s="4" t="str">
        <f>$A$3</f>
        <v>BXX_DIH1_PI1</v>
      </c>
      <c r="C7" s="4" t="str">
        <f>$C$3 &amp; " Scan Status"</f>
        <v>BXX Disch. Pressure Scan Status</v>
      </c>
      <c r="D7" s="2">
        <f t="shared" ref="D7:D28" si="0">LEN(C7)</f>
        <v>31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BXX_DIH1_PI1.DI_SC</v>
      </c>
      <c r="R7" t="s">
        <v>14</v>
      </c>
      <c r="S7" s="4" t="str">
        <f t="shared" ref="S7:S28" si="1">C7</f>
        <v>BXX Disch. Pressure Scan Status</v>
      </c>
      <c r="T7">
        <v>0</v>
      </c>
      <c r="U7">
        <v>0</v>
      </c>
    </row>
    <row r="8" spans="1:23" x14ac:dyDescent="0.25">
      <c r="A8" s="4" t="str">
        <f>$A$3&amp;"_DA_LL"</f>
        <v>BXX_DIH1_PI1_DA_LL</v>
      </c>
      <c r="B8" s="4" t="str">
        <f t="shared" ref="B8:B28" si="2">$A$3</f>
        <v>BXX_DIH1_PI1</v>
      </c>
      <c r="C8" s="4" t="str">
        <f>$C$3 &amp; " LOLO Alarm"</f>
        <v>BXX Disch. Pressure LOLO Alarm</v>
      </c>
      <c r="D8" s="2">
        <f t="shared" si="0"/>
        <v>30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$A$3&amp;"DA_LL"</f>
        <v>BXX_DIH1_PI1DA_LL</v>
      </c>
      <c r="R8" t="s">
        <v>14</v>
      </c>
      <c r="S8" s="4" t="str">
        <f t="shared" si="1"/>
        <v>BXX Disch. Pressure LOLO Alarm</v>
      </c>
      <c r="T8">
        <v>0</v>
      </c>
      <c r="U8">
        <v>0</v>
      </c>
    </row>
    <row r="9" spans="1:23" x14ac:dyDescent="0.25">
      <c r="A9" s="4" t="str">
        <f>$A$3&amp;"_DA_ER"</f>
        <v>BXX_DIH1_PI1_DA_ER</v>
      </c>
      <c r="B9" s="4" t="str">
        <f t="shared" si="2"/>
        <v>BXX_DIH1_PI1</v>
      </c>
      <c r="C9" s="4" t="str">
        <f>$C$3 &amp; " Signal Error Alarm"</f>
        <v>BXX Disch. Pressure Signal Error Alarm</v>
      </c>
      <c r="D9" s="2">
        <f t="shared" si="0"/>
        <v>38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$A$3&amp;"DA_ER"</f>
        <v>BXX_DIH1_PI1DA_ER</v>
      </c>
      <c r="R9" t="s">
        <v>14</v>
      </c>
      <c r="S9" s="4" t="str">
        <f t="shared" si="1"/>
        <v>BXX Disch. Pressure Signal Error Alarm</v>
      </c>
      <c r="T9">
        <v>0</v>
      </c>
      <c r="U9">
        <v>0</v>
      </c>
    </row>
    <row r="10" spans="1:23" x14ac:dyDescent="0.25">
      <c r="A10" s="4" t="str">
        <f>$A$3&amp;"_PB_SM"</f>
        <v>BXX_DIH1_PI1_PB_SM</v>
      </c>
      <c r="B10" s="4" t="str">
        <f t="shared" si="2"/>
        <v>BXX_DIH1_PI1</v>
      </c>
      <c r="C10" s="4" t="str">
        <f>$C$3 &amp; " Alarm Test"</f>
        <v>BXX Disch. Pressure Alarm Test</v>
      </c>
      <c r="D10" s="2">
        <f t="shared" si="0"/>
        <v>30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BXX_DIH1_PI1.PB_SM</v>
      </c>
      <c r="R10" t="s">
        <v>14</v>
      </c>
      <c r="S10" s="4" t="str">
        <f t="shared" si="1"/>
        <v>BXX Disch. Pressure Alarm Test</v>
      </c>
      <c r="T10">
        <v>0</v>
      </c>
      <c r="U10">
        <v>0</v>
      </c>
    </row>
    <row r="11" spans="1:23" x14ac:dyDescent="0.25">
      <c r="A11" s="4" t="str">
        <f>$A$3&amp;"_PB_SV"</f>
        <v>BXX_DIH1_PI1_PB_SV</v>
      </c>
      <c r="B11" s="4" t="str">
        <f t="shared" si="2"/>
        <v>BXX_DIH1_PI1</v>
      </c>
      <c r="C11" s="4" t="str">
        <f>$C$3 &amp; " Override Enable"</f>
        <v>BXX Disch. Pressure Override Enable</v>
      </c>
      <c r="D11" s="2">
        <f t="shared" si="0"/>
        <v>35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BXX_DIH1_PI1.PB_SV</v>
      </c>
      <c r="R11" t="s">
        <v>14</v>
      </c>
      <c r="S11" s="4" t="str">
        <f t="shared" si="1"/>
        <v>BXX Disch. Pressure Override Enable</v>
      </c>
      <c r="T11">
        <v>0</v>
      </c>
      <c r="U11">
        <v>0</v>
      </c>
    </row>
    <row r="12" spans="1:23" x14ac:dyDescent="0.25">
      <c r="A12" s="4" t="str">
        <f>$A$3&amp;"_PB_AE"</f>
        <v>BXX_DIH1_PI1_PB_AE</v>
      </c>
      <c r="B12" s="4" t="str">
        <f t="shared" si="2"/>
        <v>BXX_DIH1_PI1</v>
      </c>
      <c r="C12" s="4" t="str">
        <f>$C$3 &amp; " Alarm Enable"</f>
        <v>BXX Disch. Pressure Alarm Enable</v>
      </c>
      <c r="D12" s="2">
        <f t="shared" si="0"/>
        <v>32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BXX_DIH1_PI1.PB_AE.RE</v>
      </c>
      <c r="R12" t="s">
        <v>14</v>
      </c>
      <c r="S12" s="4" t="str">
        <f t="shared" si="1"/>
        <v>BXX Disch. Pressure Alarm Enable</v>
      </c>
      <c r="T12">
        <v>0</v>
      </c>
      <c r="U12">
        <v>0</v>
      </c>
    </row>
    <row r="13" spans="1:23" x14ac:dyDescent="0.25">
      <c r="A13" s="4" t="str">
        <f>$A$3&amp;"_PB_HI"</f>
        <v>BXX_DIH1_PI1_PB_HI</v>
      </c>
      <c r="B13" s="4" t="str">
        <f t="shared" si="2"/>
        <v>BXX_DIH1_PI1</v>
      </c>
      <c r="C13" s="4" t="str">
        <f>$C$3 &amp; " High Alarm Enable"</f>
        <v>BXX Disch. Pressure High Alarm Enable</v>
      </c>
      <c r="D13" s="2">
        <f t="shared" si="0"/>
        <v>37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BXX_DIH1_PI1.PB_HI.RE</v>
      </c>
      <c r="R13" t="s">
        <v>14</v>
      </c>
      <c r="S13" s="4" t="str">
        <f t="shared" si="1"/>
        <v>BXX Disch. Pressure High Alarm Enable</v>
      </c>
      <c r="T13">
        <v>0</v>
      </c>
      <c r="U13">
        <v>0</v>
      </c>
    </row>
    <row r="14" spans="1:23" x14ac:dyDescent="0.25">
      <c r="A14" s="4" t="str">
        <f>$A$3&amp;"_PB_LO"</f>
        <v>BXX_DIH1_PI1_PB_LO</v>
      </c>
      <c r="B14" s="4" t="str">
        <f t="shared" si="2"/>
        <v>BXX_DIH1_PI1</v>
      </c>
      <c r="C14" s="4" t="str">
        <f>$C$3 &amp; " Low Alarm Enable"</f>
        <v>BXX Disch. Pressure Low Alarm Enable</v>
      </c>
      <c r="D14" s="2">
        <f t="shared" si="0"/>
        <v>36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BXX_DIH1_PI1.PB_LO.RE</v>
      </c>
      <c r="R14" t="s">
        <v>14</v>
      </c>
      <c r="S14" s="4" t="str">
        <f t="shared" si="1"/>
        <v>BXX Disch. Pressure Low Alarm Enable</v>
      </c>
      <c r="T14">
        <v>0</v>
      </c>
      <c r="U14">
        <v>0</v>
      </c>
    </row>
    <row r="15" spans="1:23" x14ac:dyDescent="0.25">
      <c r="A15" s="4" t="str">
        <f>$A$3&amp;"_PB_LL"</f>
        <v>BXX_DIH1_PI1_PB_LL</v>
      </c>
      <c r="B15" s="4" t="str">
        <f t="shared" si="2"/>
        <v>BXX_DIH1_PI1</v>
      </c>
      <c r="C15" s="4" t="str">
        <f>$C$3 &amp; " LOLO Alarm Enable"</f>
        <v>BXX Disch. Pressure LOLO Alarm Enable</v>
      </c>
      <c r="D15" s="2">
        <f t="shared" si="0"/>
        <v>37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BXX_DIH1_PI1.PB_LL.RE</v>
      </c>
      <c r="R15" t="s">
        <v>14</v>
      </c>
      <c r="S15" s="4" t="str">
        <f t="shared" si="1"/>
        <v>BXX Disch. Pressure LOLO Alarm Enable</v>
      </c>
      <c r="T15">
        <v>0</v>
      </c>
      <c r="U15">
        <v>0</v>
      </c>
    </row>
    <row r="16" spans="1:23" x14ac:dyDescent="0.25">
      <c r="A16" s="4" t="str">
        <f>$A$3&amp;"_PB_ER"</f>
        <v>BXX_DIH1_PI1_PB_ER</v>
      </c>
      <c r="B16" s="4" t="str">
        <f t="shared" si="2"/>
        <v>BXX_DIH1_PI1</v>
      </c>
      <c r="C16" s="4" t="str">
        <f>$C$3 &amp; " Signal Error Alarm En"</f>
        <v>BXX Disch. Pressure Signal Error Alarm En</v>
      </c>
      <c r="D16" s="2">
        <f t="shared" si="0"/>
        <v>41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BXX_DIH1_PI1.PB_ER.RE</v>
      </c>
      <c r="R16" t="s">
        <v>14</v>
      </c>
      <c r="S16" s="4" t="str">
        <f t="shared" si="1"/>
        <v>BXX Disch. Pressure Signal Error Alarm En</v>
      </c>
      <c r="T16">
        <v>0</v>
      </c>
      <c r="U16">
        <v>0</v>
      </c>
    </row>
    <row r="17" spans="1:64" x14ac:dyDescent="0.25">
      <c r="A17" s="4" t="str">
        <f>$A$3&amp;"_PB_SC"</f>
        <v>BXX_DIH1_PI1_PB_SC</v>
      </c>
      <c r="B17" s="4" t="str">
        <f t="shared" si="2"/>
        <v>BXX_DIH1_PI1</v>
      </c>
      <c r="C17" s="4" t="str">
        <f>$C$3 &amp; " Scan Enable"</f>
        <v>BXX Disch. Pressure Scan Enable</v>
      </c>
      <c r="D17" s="2">
        <f t="shared" si="0"/>
        <v>31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BXX_DIH1_PI1.PB_SC</v>
      </c>
      <c r="R17" t="s">
        <v>14</v>
      </c>
      <c r="S17" s="4" t="str">
        <f t="shared" si="1"/>
        <v>BXX Disch. Pressure Scan Enable</v>
      </c>
      <c r="T17">
        <v>0</v>
      </c>
      <c r="U17">
        <v>0</v>
      </c>
    </row>
    <row r="18" spans="1:64" x14ac:dyDescent="0.25">
      <c r="A18" s="4" t="str">
        <f>$A$3&amp;"_DA_HH"</f>
        <v>BXX_DIH1_PI1_DA_HH</v>
      </c>
      <c r="B18" s="4" t="str">
        <f t="shared" si="2"/>
        <v>BXX_DIH1_PI1</v>
      </c>
      <c r="C18" s="4" t="str">
        <f>$C$3 &amp; " HIHI Alarm"</f>
        <v>BXX Disch. Pressure HIHI Alarm</v>
      </c>
      <c r="D18" s="2">
        <f t="shared" si="0"/>
        <v>30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$A$3&amp;"DA_HH"</f>
        <v>BXX_DIH1_PI1DA_HH</v>
      </c>
      <c r="R18" t="s">
        <v>14</v>
      </c>
      <c r="S18" s="4" t="str">
        <f t="shared" si="1"/>
        <v>BXX Disch. Pressure HIHI Alarm</v>
      </c>
      <c r="T18">
        <v>0</v>
      </c>
      <c r="U18">
        <v>0</v>
      </c>
    </row>
    <row r="19" spans="1:64" x14ac:dyDescent="0.25">
      <c r="A19" s="4" t="str">
        <f>$A$3&amp;"_DA_HI"</f>
        <v>BXX_DIH1_PI1_DA_HI</v>
      </c>
      <c r="B19" s="4" t="str">
        <f t="shared" si="2"/>
        <v>BXX_DIH1_PI1</v>
      </c>
      <c r="C19" s="4" t="str">
        <f>$C$3 &amp; " HI Alarm"</f>
        <v>BXX Disch. Pressure HI Alarm</v>
      </c>
      <c r="D19" s="2">
        <f t="shared" si="0"/>
        <v>28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$A$3&amp;"DA_HI"</f>
        <v>BXX_DIH1_PI1DA_HI</v>
      </c>
      <c r="R19" t="s">
        <v>14</v>
      </c>
      <c r="S19" s="4" t="str">
        <f t="shared" si="1"/>
        <v>BXX Disch. Pressure HI Alarm</v>
      </c>
      <c r="T19">
        <v>0</v>
      </c>
      <c r="U19">
        <v>0</v>
      </c>
    </row>
    <row r="20" spans="1:64" x14ac:dyDescent="0.25">
      <c r="A20" s="4" t="str">
        <f>$A$3&amp;"_PB_HH"</f>
        <v>BXX_DIH1_PI1_PB_HH</v>
      </c>
      <c r="B20" s="4" t="str">
        <f t="shared" si="2"/>
        <v>BXX_DIH1_PI1</v>
      </c>
      <c r="C20" s="4" t="str">
        <f>$C$3 &amp; " HIHI Alarm Enable"</f>
        <v>BXX Disch. Pressure HIHI Alarm Enable</v>
      </c>
      <c r="D20" s="2">
        <f t="shared" si="0"/>
        <v>37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BXX_DIH1_PI1.PB_HH.RE</v>
      </c>
      <c r="R20" t="s">
        <v>14</v>
      </c>
      <c r="S20" s="4" t="str">
        <f t="shared" si="1"/>
        <v>BXX Disch. Pressure HIHI Alarm Enable</v>
      </c>
      <c r="T20">
        <v>0</v>
      </c>
      <c r="U20">
        <v>0</v>
      </c>
    </row>
    <row r="21" spans="1:64" x14ac:dyDescent="0.25">
      <c r="A21" s="4" t="str">
        <f>$A$3&amp;"_PB_AR"</f>
        <v>BXX_DIH1_PI1_PB_AR</v>
      </c>
      <c r="B21" s="4" t="str">
        <f t="shared" si="2"/>
        <v>BXX_DIH1_PI1</v>
      </c>
      <c r="C21" s="4" t="str">
        <f>$C$3 &amp; " Alarm Reset"</f>
        <v>BXX Disch. Pressure Alarm Reset</v>
      </c>
      <c r="D21" s="2">
        <f t="shared" si="0"/>
        <v>31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BXX_DIH1_PI1.PB_AR</v>
      </c>
      <c r="R21" t="s">
        <v>14</v>
      </c>
      <c r="S21" s="4" t="str">
        <f t="shared" si="1"/>
        <v>BXX Disch. Pressure Alarm Reset</v>
      </c>
      <c r="T21">
        <v>0</v>
      </c>
      <c r="U21">
        <v>0</v>
      </c>
    </row>
    <row r="22" spans="1:64" x14ac:dyDescent="0.25">
      <c r="A22" s="4" t="str">
        <f>$A$3&amp;"_DA_LO"</f>
        <v>BXX_DIH1_PI1_DA_LO</v>
      </c>
      <c r="B22" s="4" t="str">
        <f t="shared" si="2"/>
        <v>BXX_DIH1_PI1</v>
      </c>
      <c r="C22" s="4" t="str">
        <f>$C$3 &amp; " LO Alarm"</f>
        <v>BXX Disch. Pressure LO Alarm</v>
      </c>
      <c r="D22" s="2">
        <f t="shared" si="0"/>
        <v>28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$A$3&amp;"DA_LO"</f>
        <v>BXX_DIH1_PI1DA_LO</v>
      </c>
      <c r="R22" t="s">
        <v>14</v>
      </c>
      <c r="S22" s="4" t="str">
        <f t="shared" si="1"/>
        <v>BXX Disch. Pressure LO Alarm</v>
      </c>
      <c r="T22">
        <v>0</v>
      </c>
      <c r="U22">
        <v>0</v>
      </c>
    </row>
    <row r="23" spans="1:64" x14ac:dyDescent="0.25">
      <c r="A23" s="4" t="str">
        <f>$A$3&amp;"_PB_LL_DE"</f>
        <v>BXX_DIH1_PI1_PB_LL_DE</v>
      </c>
      <c r="B23" s="4" t="str">
        <f t="shared" si="2"/>
        <v>BXX_DIH1_PI1</v>
      </c>
      <c r="C23" s="4" t="str">
        <f>$C$3 &amp; " LOLO Alarm Dialer Enable"</f>
        <v>BXX Disch. Pressure LOLO Alarm Dialer Enable</v>
      </c>
      <c r="D23" s="2">
        <f t="shared" si="0"/>
        <v>44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BXX_DIH1_PI1.PB_LL.DE</v>
      </c>
      <c r="R23" t="s">
        <v>14</v>
      </c>
      <c r="S23" s="4" t="str">
        <f t="shared" si="1"/>
        <v>BXX Disch. Pressure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BXX_DIH1_PI1_PB_ER_DE</v>
      </c>
      <c r="B24" s="4" t="str">
        <f t="shared" si="2"/>
        <v>BXX_DIH1_PI1</v>
      </c>
      <c r="C24" s="4" t="str">
        <f>$C$3 &amp; " Sig Error Alarm Dialer En"</f>
        <v>BXX Disch. Pressure Sig Error Alarm Dialer En</v>
      </c>
      <c r="D24" s="2">
        <f t="shared" si="0"/>
        <v>45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BXX_DIH1_PI1.PB_ER.DE</v>
      </c>
      <c r="R24" t="s">
        <v>14</v>
      </c>
      <c r="S24" s="4" t="str">
        <f t="shared" si="1"/>
        <v>BXX Disch. Pressure Sig Error Alarm Dialer En</v>
      </c>
      <c r="T24">
        <v>0</v>
      </c>
      <c r="U24">
        <v>0</v>
      </c>
    </row>
    <row r="25" spans="1:64" x14ac:dyDescent="0.25">
      <c r="A25" s="4" t="str">
        <f>$A$3&amp;"_PB_HH_DE"</f>
        <v>BXX_DIH1_PI1_PB_HH_DE</v>
      </c>
      <c r="B25" s="4" t="str">
        <f t="shared" si="2"/>
        <v>BXX_DIH1_PI1</v>
      </c>
      <c r="C25" s="4" t="str">
        <f>$C$3 &amp; " HIHI Alarm Dialer Enable"</f>
        <v>BXX Disch. Pressure HIHI Alarm Dialer Enable</v>
      </c>
      <c r="D25" s="2">
        <f t="shared" si="0"/>
        <v>44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BXX_DIH1_PI1.PB_HH.DE</v>
      </c>
      <c r="R25" t="s">
        <v>14</v>
      </c>
      <c r="S25" s="4" t="str">
        <f t="shared" si="1"/>
        <v>BXX Disch. Pressure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BXX_DIH1_PI1_PB_LL_SR</v>
      </c>
      <c r="B26" s="4" t="str">
        <f t="shared" si="2"/>
        <v>BXX_DIH1_PI1</v>
      </c>
      <c r="C26" s="4" t="str">
        <f>$C$3 &amp; " LOLO Alarm Sup Enable"</f>
        <v>BXX Disch. Pressure LOLO Alarm Sup Enable</v>
      </c>
      <c r="D26" s="2">
        <f t="shared" si="0"/>
        <v>41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BXX_DIH1_PI1.PB_LL.SR</v>
      </c>
      <c r="R26" t="s">
        <v>14</v>
      </c>
      <c r="S26" s="4" t="str">
        <f t="shared" si="1"/>
        <v>BXX Disch. Pressure LOLO Alarm Sup Enable</v>
      </c>
      <c r="T26">
        <v>0</v>
      </c>
      <c r="U26">
        <v>0</v>
      </c>
    </row>
    <row r="27" spans="1:64" x14ac:dyDescent="0.25">
      <c r="A27" s="4" t="str">
        <f>$A$3&amp;"_PB_ER_SR"</f>
        <v>BXX_DIH1_PI1_PB_ER_SR</v>
      </c>
      <c r="B27" s="4" t="str">
        <f t="shared" si="2"/>
        <v>BXX_DIH1_PI1</v>
      </c>
      <c r="C27" s="4" t="str">
        <f>$C$3 &amp; " Signal Error Alarm Sup En"</f>
        <v>BXX Disch. Pressure Signal Error Alarm Sup En</v>
      </c>
      <c r="D27" s="2">
        <f t="shared" si="0"/>
        <v>45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BXX_DIH1_PI1.PB_ER.SR</v>
      </c>
      <c r="R27" t="s">
        <v>14</v>
      </c>
      <c r="S27" s="4" t="str">
        <f t="shared" si="1"/>
        <v>BXX Disch. Pressure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BXX_DIH1_PI1_PB_HH_SR</v>
      </c>
      <c r="B28" s="4" t="str">
        <f t="shared" si="2"/>
        <v>BXX_DIH1_PI1</v>
      </c>
      <c r="C28" s="4" t="str">
        <f>$C$3 &amp; " HIHI Alarm Sup Enable"</f>
        <v>BXX Disch. Pressure HIHI Alarm Sup Enable</v>
      </c>
      <c r="D28" s="2">
        <f t="shared" si="0"/>
        <v>41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BXX_DIH1_PI1.PB_HH.SR</v>
      </c>
      <c r="R28" t="s">
        <v>14</v>
      </c>
      <c r="S28" s="4" t="str">
        <f t="shared" si="1"/>
        <v>BXX Disch. Pressure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BXX_DIH1_PI1_AI_VI</v>
      </c>
      <c r="B30" s="4" t="str">
        <f t="shared" ref="B30:B31" si="4">$A$3</f>
        <v>BXX_DIH1_PI1</v>
      </c>
      <c r="C30" s="4" t="str">
        <f>$C$3 &amp; " Number of Vis Eng Values"</f>
        <v>BXX Disch. Pressure Number of Vis Eng Values</v>
      </c>
      <c r="D30" s="2">
        <f t="shared" ref="D30:D31" si="5">LEN(C30)</f>
        <v>44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BXX_DIH1_PI1.AI_VI</v>
      </c>
      <c r="AU30" t="s">
        <v>14</v>
      </c>
      <c r="AV30" s="4" t="str">
        <f>C30</f>
        <v>BXX Disch. Pressure Number of Vis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BXX_DIH1_PI1_AI_DC</v>
      </c>
      <c r="B31" s="4" t="str">
        <f t="shared" si="4"/>
        <v>BXX_DIH1_PI1</v>
      </c>
      <c r="C31" s="4" t="str">
        <f>$C$3 &amp; " Precision"</f>
        <v>BXX Disch. Pressure Precision</v>
      </c>
      <c r="D31" s="2">
        <f t="shared" si="5"/>
        <v>29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BXX_DIH1_PI1.AI_DC</v>
      </c>
      <c r="AU31" t="s">
        <v>14</v>
      </c>
      <c r="AV31" s="4" t="str">
        <f t="shared" ref="AV31" si="9">C31</f>
        <v>BXX Disch. Pressure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BXX_DIH1_PI1_SN_LL</v>
      </c>
      <c r="B33" s="4" t="str">
        <f t="shared" ref="B33:C46" si="10">$A$3</f>
        <v>BXX_DIH1_PI1</v>
      </c>
      <c r="C33" s="4" t="str">
        <f>$C$3 &amp; " LOLO Alarm Delay"</f>
        <v>BXX Disch. Pressure LOLO Alarm Delay</v>
      </c>
      <c r="D33" s="2">
        <f t="shared" ref="D33:D88" si="11">LEN(C33)</f>
        <v>36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$A$3&amp;"SN_LL"</f>
        <v>BXX_DIH1_PI1SN_LL</v>
      </c>
      <c r="AU33" t="s">
        <v>14</v>
      </c>
      <c r="AV33" s="4" t="str">
        <f>C33</f>
        <v>BXX Disch. Pressure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BXX_DIH1_PI1_SN_HI</v>
      </c>
      <c r="B34" s="4" t="str">
        <f t="shared" si="10"/>
        <v>BXX_DIH1_PI1</v>
      </c>
      <c r="C34" s="4" t="str">
        <f>$C$3 &amp; " High Alarm Delay"</f>
        <v>BXX Disch. Pressure High Alarm Delay</v>
      </c>
      <c r="D34" s="2">
        <f t="shared" si="11"/>
        <v>36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$A$3&amp;"SN_HI"</f>
        <v>BXX_DIH1_PI1SN_HI</v>
      </c>
      <c r="AU34" t="s">
        <v>14</v>
      </c>
      <c r="AV34" s="4" t="str">
        <f t="shared" ref="AV34:AV44" si="15">C34</f>
        <v>BXX Disch. Pressure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BXX_DIH1_PI1_AI_CV</v>
      </c>
      <c r="B35" s="4" t="str">
        <f t="shared" si="10"/>
        <v>BXX_DIH1_PI1</v>
      </c>
      <c r="C35" s="4" t="str">
        <f>$C$3 &amp; " Current Value"</f>
        <v>BXX Disch. Pressure Current Value</v>
      </c>
      <c r="D35" s="2">
        <f t="shared" si="11"/>
        <v>33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168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BXX_DIH1_PI1.AI_CV</v>
      </c>
      <c r="AU35" t="s">
        <v>14</v>
      </c>
      <c r="AV35" s="4" t="str">
        <f t="shared" si="15"/>
        <v>BXX Disch. Pressure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BXX_DIH1_PI1_AO_XM</v>
      </c>
      <c r="B36" s="4" t="str">
        <f t="shared" si="10"/>
        <v>BXX_DIH1_PI1</v>
      </c>
      <c r="C36" s="4" t="str">
        <f>$C$3 &amp; " Span Setpoint"</f>
        <v>BXX Disch. Pressure Span Setpoint</v>
      </c>
      <c r="D36" s="2">
        <f t="shared" si="11"/>
        <v>33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kPa</v>
      </c>
      <c r="M36" s="4">
        <f t="shared" si="12"/>
        <v>0</v>
      </c>
      <c r="N36" s="4">
        <f t="shared" ref="N36:N41" si="17">$N$35</f>
        <v>0</v>
      </c>
      <c r="O36" s="4">
        <f t="shared" ref="O36:O41" si="18">$O$35</f>
        <v>150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150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BXX_DIH1_PI1.AO_XM</v>
      </c>
      <c r="AU36" t="s">
        <v>14</v>
      </c>
      <c r="AV36" s="4" t="str">
        <f t="shared" si="15"/>
        <v>BXX Disch. Pressure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BXX_DIH1_PI1_AO_LO</v>
      </c>
      <c r="B37" s="4" t="str">
        <f t="shared" si="10"/>
        <v>BXX_DIH1_PI1</v>
      </c>
      <c r="C37" s="4" t="str">
        <f>$C$3 &amp; " Low Setpoint"</f>
        <v>BXX Disch. Pressure Low Setpoint</v>
      </c>
      <c r="D37" s="2">
        <f t="shared" si="11"/>
        <v>32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kPa</v>
      </c>
      <c r="M37" s="4">
        <f t="shared" si="12"/>
        <v>0</v>
      </c>
      <c r="N37" s="4">
        <f t="shared" si="17"/>
        <v>0</v>
      </c>
      <c r="O37" s="4">
        <f t="shared" si="18"/>
        <v>150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150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BXX_DIH1_PI1.AO_LO</v>
      </c>
      <c r="AU37" t="s">
        <v>14</v>
      </c>
      <c r="AV37" s="4" t="str">
        <f t="shared" si="15"/>
        <v>BXX Disch. Pressure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BXX_DIH1_PI1_AO_HH</v>
      </c>
      <c r="B38" s="4" t="str">
        <f t="shared" si="10"/>
        <v>BXX_DIH1_PI1</v>
      </c>
      <c r="C38" s="4" t="str">
        <f>$C$3 &amp; " HIHI Setpoint"</f>
        <v>BXX Disch. Pressure HIHI Setpoint</v>
      </c>
      <c r="D38" s="2">
        <f t="shared" si="11"/>
        <v>33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kPa</v>
      </c>
      <c r="M38" s="4">
        <f t="shared" si="12"/>
        <v>0</v>
      </c>
      <c r="N38" s="4">
        <f t="shared" si="17"/>
        <v>0</v>
      </c>
      <c r="O38" s="4">
        <f t="shared" si="18"/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BXX_DIH1_PI1.AO_HH</v>
      </c>
      <c r="AU38" t="s">
        <v>14</v>
      </c>
      <c r="AV38" s="4" t="str">
        <f t="shared" si="15"/>
        <v>BXX Disch. Pressure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BXX_DIH1_PI1_AO_HI</v>
      </c>
      <c r="B39" s="4" t="str">
        <f t="shared" si="10"/>
        <v>BXX_DIH1_PI1</v>
      </c>
      <c r="C39" s="4" t="str">
        <f>$C$3 &amp; " High Setpoint"</f>
        <v>BXX Disch. Pressure High Setpoint</v>
      </c>
      <c r="D39" s="2">
        <f t="shared" si="11"/>
        <v>33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kPa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BXX_DIH1_PI1.AO_HI</v>
      </c>
      <c r="AU39" t="s">
        <v>14</v>
      </c>
      <c r="AV39" s="4" t="str">
        <f t="shared" si="15"/>
        <v>BXX Disch. Pressure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BXX_DIH1_PI1_AO_SV</v>
      </c>
      <c r="B40" s="4" t="str">
        <f t="shared" si="10"/>
        <v>BXX_DIH1_PI1</v>
      </c>
      <c r="C40" s="4" t="str">
        <f>$C$3 &amp; " Override Value"</f>
        <v>BXX Disch. Pressure Override Value</v>
      </c>
      <c r="D40" s="2">
        <f t="shared" si="11"/>
        <v>34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kPa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BXX_DIH1_PI1.AO_SV</v>
      </c>
      <c r="AU40" t="s">
        <v>14</v>
      </c>
      <c r="AV40" s="4" t="str">
        <f t="shared" si="15"/>
        <v>BXX Disch. Pressure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BXX_DIH1_PI1_AO_EM</v>
      </c>
      <c r="B41" s="4" t="str">
        <f t="shared" si="10"/>
        <v>BXX_DIH1_PI1</v>
      </c>
      <c r="C41" s="4" t="str">
        <f>$C$3 &amp; " Zero Setpoint"</f>
        <v>BXX Disch. Pressure Zero Setpoint</v>
      </c>
      <c r="D41" s="2">
        <f t="shared" si="11"/>
        <v>33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kPa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BXX_DIH1_PI1.AO_EM</v>
      </c>
      <c r="AU41" t="s">
        <v>14</v>
      </c>
      <c r="AV41" s="4" t="str">
        <f t="shared" si="15"/>
        <v>BXX Disch. Pressure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BXX_DIH1_PI1_SN_HH</v>
      </c>
      <c r="B42" s="4" t="str">
        <f t="shared" si="10"/>
        <v>BXX_DIH1_PI1</v>
      </c>
      <c r="C42" s="4" t="str">
        <f>$C$3 &amp; " HIHI Alarm Delay"</f>
        <v>BXX Disch. Pressure HIHI Alarm Delay</v>
      </c>
      <c r="D42" s="2">
        <f t="shared" si="11"/>
        <v>36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$A$3&amp;"SN_HH"</f>
        <v>BXX_DIH1_PI1SN_HH</v>
      </c>
      <c r="AU42" t="s">
        <v>14</v>
      </c>
      <c r="AV42" s="4" t="str">
        <f t="shared" si="15"/>
        <v>BXX Disch. Pressure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BXX_DIH1_PI1_SN_LO</v>
      </c>
      <c r="B43" s="4" t="str">
        <f t="shared" si="10"/>
        <v>BXX_DIH1_PI1</v>
      </c>
      <c r="C43" s="4" t="str">
        <f>$C$3 &amp; " Low Alarm Delay"</f>
        <v>BXX Disch. Pressure Low Alarm Delay</v>
      </c>
      <c r="D43" s="2">
        <f t="shared" si="11"/>
        <v>35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$A$3&amp;"SN_LO"</f>
        <v>BXX_DIH1_PI1SN_LO</v>
      </c>
      <c r="AU43" t="s">
        <v>14</v>
      </c>
      <c r="AV43" s="4" t="str">
        <f t="shared" si="15"/>
        <v>BXX Disch. Pressure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BXX_DIH1_PI1_AO_LL</v>
      </c>
      <c r="B44" s="4" t="str">
        <f t="shared" si="10"/>
        <v>BXX_DIH1_PI1</v>
      </c>
      <c r="C44" s="4" t="str">
        <f>$C$3 &amp; " LOLO Setpoint"</f>
        <v>BXX Disch. Pressure LOLO Setpoint</v>
      </c>
      <c r="D44" s="2">
        <f t="shared" si="11"/>
        <v>33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kPa</v>
      </c>
      <c r="M44" s="4">
        <f t="shared" si="12"/>
        <v>0</v>
      </c>
      <c r="N44" s="4">
        <f t="shared" ref="N44" si="20">$N$35</f>
        <v>0</v>
      </c>
      <c r="O44" s="4">
        <f t="shared" ref="O44" si="21">$O$35</f>
        <v>150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150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BXX_DIH1_PI1.AO_LL</v>
      </c>
      <c r="AU44" t="s">
        <v>14</v>
      </c>
      <c r="AV44" s="4" t="str">
        <f t="shared" si="15"/>
        <v>BXX Disch. Pressure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BXX_DIH1_PI1_DI_NM</v>
      </c>
      <c r="B46" s="4" t="str">
        <f t="shared" si="10"/>
        <v>BXX_DIH1_PI1</v>
      </c>
      <c r="C46" s="4" t="str">
        <f t="shared" si="10"/>
        <v>BXX_DIH1_PI1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s="4" t="str">
        <f t="shared" ref="J46:K46" si="22">$A$3</f>
        <v>BXX_DIH1_PI1</v>
      </c>
      <c r="K46" s="4" t="str">
        <f t="shared" si="22"/>
        <v>BXX_DIH1_PI1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BXX_DIH1_PI1_PB_HH_RN</v>
      </c>
      <c r="B50" s="4" t="str">
        <f>$A$3</f>
        <v>BXX_DIH1_PI1</v>
      </c>
      <c r="C50" s="4" t="str">
        <f>$C$3 &amp; " HIHI Alarm Disabled Reason"</f>
        <v>BXX Disch. Pressure HIHI Alarm Disabled Reason</v>
      </c>
      <c r="D50" s="2">
        <f t="shared" si="11"/>
        <v>46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BXX_DIH1_PI1_PB_HH_RN</v>
      </c>
      <c r="N50" t="s">
        <v>14</v>
      </c>
      <c r="O50" s="4" t="str">
        <f>C50</f>
        <v>BXX Disch. Pressure HIHI Alarm Disabled Reason</v>
      </c>
    </row>
    <row r="51" spans="1:16" x14ac:dyDescent="0.25">
      <c r="A51" s="4" t="str">
        <f>$A$3&amp;"_PB_LL_RN"</f>
        <v>BXX_DIH1_PI1_PB_LL_RN</v>
      </c>
      <c r="B51" s="4" t="str">
        <f t="shared" ref="B51:B52" si="23">$A$3</f>
        <v>BXX_DIH1_PI1</v>
      </c>
      <c r="C51" s="4" t="str">
        <f>$C$3 &amp; " LOLO Alarm Disabled Reason"</f>
        <v>BXX Disch. Pressure LOLO Alarm Disabled Reason</v>
      </c>
      <c r="D51" s="2">
        <f t="shared" si="11"/>
        <v>46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4">A51</f>
        <v>BXX_DIH1_PI1_PB_LL_RN</v>
      </c>
      <c r="N51" t="s">
        <v>14</v>
      </c>
      <c r="O51" s="4" t="str">
        <f t="shared" ref="O51:O52" si="25">C51</f>
        <v>BXX Disch. Pressure LOLO Alarm Disabled Reason</v>
      </c>
    </row>
    <row r="52" spans="1:16" x14ac:dyDescent="0.25">
      <c r="A52" s="4" t="str">
        <f>$A$3&amp;"_PB_ER_RN"</f>
        <v>BXX_DIH1_PI1_PB_ER_RN</v>
      </c>
      <c r="B52" s="4" t="str">
        <f t="shared" si="23"/>
        <v>BXX_DIH1_PI1</v>
      </c>
      <c r="C52" s="4" t="str">
        <f>$C$3 &amp; " Sig Error Alarm Dis Reason"</f>
        <v>BXX Disch. Pressure Sig Error Alarm Dis Reason</v>
      </c>
      <c r="D52" s="2">
        <f t="shared" si="11"/>
        <v>46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4"/>
        <v>BXX_DIH1_PI1_PB_ER_RN</v>
      </c>
      <c r="N52" t="s">
        <v>14</v>
      </c>
      <c r="O52" s="4" t="str">
        <f t="shared" si="25"/>
        <v>BXX Disch. Pressure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487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145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162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33:D44 D6:D27 D51:D88">
    <cfRule type="cellIs" dxfId="209" priority="7" operator="greaterThan">
      <formula>49</formula>
    </cfRule>
  </conditionalFormatting>
  <conditionalFormatting sqref="D30:D31">
    <cfRule type="cellIs" dxfId="208" priority="5" operator="greaterThan">
      <formula>49</formula>
    </cfRule>
  </conditionalFormatting>
  <conditionalFormatting sqref="D46:D50">
    <cfRule type="cellIs" dxfId="207" priority="3" operator="greaterThan">
      <formula>49</formula>
    </cfRule>
  </conditionalFormatting>
  <conditionalFormatting sqref="D28">
    <cfRule type="cellIs" dxfId="206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view="pageBreakPreview" topLeftCell="E32" zoomScale="90" zoomScaleNormal="100" zoomScaleSheetLayoutView="90" workbookViewId="0">
      <selection activeCell="K52" sqref="K52"/>
    </sheetView>
  </sheetViews>
  <sheetFormatPr defaultRowHeight="15" x14ac:dyDescent="0.25"/>
  <cols>
    <col min="1" max="1" width="23.7109375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422</v>
      </c>
      <c r="B3" s="4" t="str">
        <f>BXXPLC1!A5</f>
        <v>BXX</v>
      </c>
      <c r="C3" s="3" t="s">
        <v>266</v>
      </c>
      <c r="D3" s="2">
        <f>LEN(C3)</f>
        <v>15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38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BXX_DIH1_FI1_DI_AD</v>
      </c>
      <c r="B6" s="4" t="str">
        <f>$A$4</f>
        <v>BXX_DSAB</v>
      </c>
      <c r="C6" s="4" t="str">
        <f>$C$3 &amp; " Disabled Analog Alarm"</f>
        <v>BXX Disch. Flow Disabled Analog Alarm</v>
      </c>
      <c r="D6" s="2">
        <f>LEN(C6)</f>
        <v>37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BXX_DIH1_FI1.DI_AD</v>
      </c>
      <c r="R6" t="s">
        <v>14</v>
      </c>
      <c r="S6" s="4" t="str">
        <f>C6</f>
        <v>BXX Disch. Flow Disabled Analog Alarm</v>
      </c>
      <c r="T6">
        <v>0</v>
      </c>
      <c r="U6">
        <v>0</v>
      </c>
    </row>
    <row r="7" spans="1:23" x14ac:dyDescent="0.25">
      <c r="A7" s="4" t="str">
        <f>$A$3&amp;"_DI_SC"</f>
        <v>BXX_DIH1_FI1_DI_SC</v>
      </c>
      <c r="B7" s="4" t="str">
        <f>$A$3</f>
        <v>BXX_DIH1_FI1</v>
      </c>
      <c r="C7" s="4" t="str">
        <f>$C$3 &amp; " Scan Status"</f>
        <v>BXX Disch. Flow Scan Status</v>
      </c>
      <c r="D7" s="2">
        <f t="shared" ref="D7:D28" si="0">LEN(C7)</f>
        <v>27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BXX_DIH1_FI1.DI_SC</v>
      </c>
      <c r="R7" t="s">
        <v>14</v>
      </c>
      <c r="S7" s="4" t="str">
        <f t="shared" ref="S7:S28" si="1">C7</f>
        <v>BXX Disch. Flow Scan Status</v>
      </c>
      <c r="T7">
        <v>0</v>
      </c>
      <c r="U7">
        <v>0</v>
      </c>
    </row>
    <row r="8" spans="1:23" x14ac:dyDescent="0.25">
      <c r="A8" s="4" t="str">
        <f>$A$3&amp;"_DA_LL"</f>
        <v>BXX_DIH1_FI1_DA_LL</v>
      </c>
      <c r="B8" s="4" t="str">
        <f t="shared" ref="B8:B28" si="2">$A$3</f>
        <v>BXX_DIH1_FI1</v>
      </c>
      <c r="C8" s="4" t="str">
        <f>$C$3 &amp; " LOLO Alarm"</f>
        <v>BXX Disch. Flow LOLO Alarm</v>
      </c>
      <c r="D8" s="2">
        <f t="shared" si="0"/>
        <v>26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BXX_DIH1_FI1.DA_LL</v>
      </c>
      <c r="R8" t="s">
        <v>14</v>
      </c>
      <c r="S8" s="4" t="str">
        <f t="shared" si="1"/>
        <v>BXX Disch. Flow LOLO Alarm</v>
      </c>
      <c r="T8">
        <v>0</v>
      </c>
      <c r="U8">
        <v>0</v>
      </c>
    </row>
    <row r="9" spans="1:23" x14ac:dyDescent="0.25">
      <c r="A9" s="4" t="str">
        <f>$A$3&amp;"_DA_ER"</f>
        <v>BXX_DIH1_FI1_DA_ER</v>
      </c>
      <c r="B9" s="4" t="str">
        <f t="shared" si="2"/>
        <v>BXX_DIH1_FI1</v>
      </c>
      <c r="C9" s="4" t="str">
        <f>$C$3 &amp; " Signal Error Alarm"</f>
        <v>BXX Disch. Flow Signal Error Alarm</v>
      </c>
      <c r="D9" s="2">
        <f t="shared" si="0"/>
        <v>34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BXX_DIH1_FI1.DA_ER</v>
      </c>
      <c r="R9" t="s">
        <v>14</v>
      </c>
      <c r="S9" s="4" t="str">
        <f t="shared" si="1"/>
        <v>BXX Disch. Flow Signal Error Alarm</v>
      </c>
      <c r="T9">
        <v>0</v>
      </c>
      <c r="U9">
        <v>0</v>
      </c>
    </row>
    <row r="10" spans="1:23" x14ac:dyDescent="0.25">
      <c r="A10" s="4" t="str">
        <f>$A$3&amp;"_PB_SM"</f>
        <v>BXX_DIH1_FI1_PB_SM</v>
      </c>
      <c r="B10" s="4" t="str">
        <f t="shared" si="2"/>
        <v>BXX_DIH1_FI1</v>
      </c>
      <c r="C10" s="4" t="str">
        <f>$C$3 &amp; " Alarm Test"</f>
        <v>BXX Disch. Flow Alarm Test</v>
      </c>
      <c r="D10" s="2">
        <f t="shared" si="0"/>
        <v>26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BXX_DIH1_FI1.PB_SM</v>
      </c>
      <c r="R10" t="s">
        <v>14</v>
      </c>
      <c r="S10" s="4" t="str">
        <f t="shared" si="1"/>
        <v>BXX Disch. Flow Alarm Test</v>
      </c>
      <c r="T10">
        <v>0</v>
      </c>
      <c r="U10">
        <v>0</v>
      </c>
    </row>
    <row r="11" spans="1:23" x14ac:dyDescent="0.25">
      <c r="A11" s="4" t="str">
        <f>$A$3&amp;"_PB_SV"</f>
        <v>BXX_DIH1_FI1_PB_SV</v>
      </c>
      <c r="B11" s="4" t="str">
        <f t="shared" si="2"/>
        <v>BXX_DIH1_FI1</v>
      </c>
      <c r="C11" s="4" t="str">
        <f>$C$3 &amp; " Override Enable"</f>
        <v>BXX Disch. Flow Override Enable</v>
      </c>
      <c r="D11" s="2">
        <f t="shared" si="0"/>
        <v>31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BXX_DIH1_FI1.PB_SV</v>
      </c>
      <c r="R11" t="s">
        <v>14</v>
      </c>
      <c r="S11" s="4" t="str">
        <f t="shared" si="1"/>
        <v>BXX Disch. Flow Override Enable</v>
      </c>
      <c r="T11">
        <v>0</v>
      </c>
      <c r="U11">
        <v>0</v>
      </c>
    </row>
    <row r="12" spans="1:23" x14ac:dyDescent="0.25">
      <c r="A12" s="4" t="str">
        <f>$A$3&amp;"_PB_AE"</f>
        <v>BXX_DIH1_FI1_PB_AE</v>
      </c>
      <c r="B12" s="4" t="str">
        <f t="shared" si="2"/>
        <v>BXX_DIH1_FI1</v>
      </c>
      <c r="C12" s="4" t="str">
        <f>$C$3 &amp; " Alarm Enable"</f>
        <v>BXX Disch. Flow Alarm Enable</v>
      </c>
      <c r="D12" s="2">
        <f t="shared" si="0"/>
        <v>28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BXX_DIH1_FI1.PB_AE.RE</v>
      </c>
      <c r="R12" t="s">
        <v>14</v>
      </c>
      <c r="S12" s="4" t="str">
        <f t="shared" si="1"/>
        <v>BXX Disch. Flow Alarm Enable</v>
      </c>
      <c r="T12">
        <v>0</v>
      </c>
      <c r="U12">
        <v>0</v>
      </c>
    </row>
    <row r="13" spans="1:23" x14ac:dyDescent="0.25">
      <c r="A13" s="4" t="str">
        <f>$A$3&amp;"_PB_HI"</f>
        <v>BXX_DIH1_FI1_PB_HI</v>
      </c>
      <c r="B13" s="4" t="str">
        <f t="shared" si="2"/>
        <v>BXX_DIH1_FI1</v>
      </c>
      <c r="C13" s="4" t="str">
        <f>$C$3 &amp; " High Alarm Enable"</f>
        <v>BXX Disch. Flow High Alarm Enable</v>
      </c>
      <c r="D13" s="2">
        <f t="shared" si="0"/>
        <v>33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BXX_DIH1_FI1.PB_HI.RE</v>
      </c>
      <c r="R13" t="s">
        <v>14</v>
      </c>
      <c r="S13" s="4" t="str">
        <f t="shared" si="1"/>
        <v>BXX Disch. Flow High Alarm Enable</v>
      </c>
      <c r="T13">
        <v>0</v>
      </c>
      <c r="U13">
        <v>0</v>
      </c>
    </row>
    <row r="14" spans="1:23" x14ac:dyDescent="0.25">
      <c r="A14" s="4" t="str">
        <f>$A$3&amp;"_PB_LO"</f>
        <v>BXX_DIH1_FI1_PB_LO</v>
      </c>
      <c r="B14" s="4" t="str">
        <f t="shared" si="2"/>
        <v>BXX_DIH1_FI1</v>
      </c>
      <c r="C14" s="4" t="str">
        <f>$C$3 &amp; " Low Alarm Enable"</f>
        <v>BXX Disch. Flow Low Alarm Enable</v>
      </c>
      <c r="D14" s="2">
        <f t="shared" si="0"/>
        <v>32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BXX_DIH1_FI1.PB_LO.RE</v>
      </c>
      <c r="R14" t="s">
        <v>14</v>
      </c>
      <c r="S14" s="4" t="str">
        <f t="shared" si="1"/>
        <v>BXX Disch. Flow Low Alarm Enable</v>
      </c>
      <c r="T14">
        <v>0</v>
      </c>
      <c r="U14">
        <v>0</v>
      </c>
    </row>
    <row r="15" spans="1:23" x14ac:dyDescent="0.25">
      <c r="A15" s="4" t="str">
        <f>$A$3&amp;"_PB_LL"</f>
        <v>BXX_DIH1_FI1_PB_LL</v>
      </c>
      <c r="B15" s="4" t="str">
        <f t="shared" si="2"/>
        <v>BXX_DIH1_FI1</v>
      </c>
      <c r="C15" s="4" t="str">
        <f>$C$3 &amp; " LOLO Alarm Enable"</f>
        <v>BXX Disch. Flow LOLO Alarm Enable</v>
      </c>
      <c r="D15" s="2">
        <f t="shared" si="0"/>
        <v>33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BXX_DIH1_FI1.PB_LL.RE</v>
      </c>
      <c r="R15" t="s">
        <v>14</v>
      </c>
      <c r="S15" s="4" t="str">
        <f t="shared" si="1"/>
        <v>BXX Disch. Flow LOLO Alarm Enable</v>
      </c>
      <c r="T15">
        <v>0</v>
      </c>
      <c r="U15">
        <v>0</v>
      </c>
    </row>
    <row r="16" spans="1:23" x14ac:dyDescent="0.25">
      <c r="A16" s="4" t="str">
        <f>$A$3&amp;"_PB_ER"</f>
        <v>BXX_DIH1_FI1_PB_ER</v>
      </c>
      <c r="B16" s="4" t="str">
        <f t="shared" si="2"/>
        <v>BXX_DIH1_FI1</v>
      </c>
      <c r="C16" s="4" t="str">
        <f>$C$3 &amp; " Signal Error Alarm En"</f>
        <v>BXX Disch. Flow Signal Error Alarm En</v>
      </c>
      <c r="D16" s="2">
        <f t="shared" si="0"/>
        <v>37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BXX_DIH1_FI1.PB_ER.RE</v>
      </c>
      <c r="R16" t="s">
        <v>14</v>
      </c>
      <c r="S16" s="4" t="str">
        <f t="shared" si="1"/>
        <v>BXX Disch. Flow Signal Error Alarm En</v>
      </c>
      <c r="T16">
        <v>0</v>
      </c>
      <c r="U16">
        <v>0</v>
      </c>
    </row>
    <row r="17" spans="1:64" x14ac:dyDescent="0.25">
      <c r="A17" s="4" t="str">
        <f>$A$3&amp;"_PB_SC"</f>
        <v>BXX_DIH1_FI1_PB_SC</v>
      </c>
      <c r="B17" s="4" t="str">
        <f t="shared" si="2"/>
        <v>BXX_DIH1_FI1</v>
      </c>
      <c r="C17" s="4" t="str">
        <f>$C$3 &amp; " Scan Enable"</f>
        <v>BXX Disch. Flow Scan Enable</v>
      </c>
      <c r="D17" s="2">
        <f t="shared" si="0"/>
        <v>27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BXX_DIH1_FI1.PB_SC</v>
      </c>
      <c r="R17" t="s">
        <v>14</v>
      </c>
      <c r="S17" s="4" t="str">
        <f t="shared" si="1"/>
        <v>BXX Disch. Flow Scan Enable</v>
      </c>
      <c r="T17">
        <v>0</v>
      </c>
      <c r="U17">
        <v>0</v>
      </c>
    </row>
    <row r="18" spans="1:64" x14ac:dyDescent="0.25">
      <c r="A18" s="4" t="str">
        <f>$A$3&amp;"_DA_HH"</f>
        <v>BXX_DIH1_FI1_DA_HH</v>
      </c>
      <c r="B18" s="4" t="str">
        <f t="shared" si="2"/>
        <v>BXX_DIH1_FI1</v>
      </c>
      <c r="C18" s="4" t="str">
        <f>$C$3 &amp; " HIHI Alarm"</f>
        <v>BXX Disch. Flow HIHI Alarm</v>
      </c>
      <c r="D18" s="2">
        <f t="shared" si="0"/>
        <v>26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BXX_DIH1_FI1.DA_HH</v>
      </c>
      <c r="R18" t="s">
        <v>14</v>
      </c>
      <c r="S18" s="4" t="str">
        <f t="shared" si="1"/>
        <v>BXX Disch. Flow HIHI Alarm</v>
      </c>
      <c r="T18">
        <v>0</v>
      </c>
      <c r="U18">
        <v>0</v>
      </c>
    </row>
    <row r="19" spans="1:64" x14ac:dyDescent="0.25">
      <c r="A19" s="4" t="str">
        <f>$A$3&amp;"_DA_HI"</f>
        <v>BXX_DIH1_FI1_DA_HI</v>
      </c>
      <c r="B19" s="4" t="str">
        <f t="shared" si="2"/>
        <v>BXX_DIH1_FI1</v>
      </c>
      <c r="C19" s="4" t="str">
        <f>$C$3 &amp; " HI Alarm"</f>
        <v>BXX Disch. Flow HI Alarm</v>
      </c>
      <c r="D19" s="2">
        <f t="shared" si="0"/>
        <v>24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BXX_DIH1_FI1.DA_HI</v>
      </c>
      <c r="R19" t="s">
        <v>14</v>
      </c>
      <c r="S19" s="4" t="str">
        <f t="shared" si="1"/>
        <v>BXX Disch. Flow HI Alarm</v>
      </c>
      <c r="T19">
        <v>0</v>
      </c>
      <c r="U19">
        <v>0</v>
      </c>
    </row>
    <row r="20" spans="1:64" x14ac:dyDescent="0.25">
      <c r="A20" s="4" t="str">
        <f>$A$3&amp;"_PB_HH"</f>
        <v>BXX_DIH1_FI1_PB_HH</v>
      </c>
      <c r="B20" s="4" t="str">
        <f t="shared" si="2"/>
        <v>BXX_DIH1_FI1</v>
      </c>
      <c r="C20" s="4" t="str">
        <f>$C$3 &amp; " HIHI Alarm Enable"</f>
        <v>BXX Disch. Flow HIHI Alarm Enable</v>
      </c>
      <c r="D20" s="2">
        <f t="shared" si="0"/>
        <v>33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BXX_DIH1_FI1.PB_HH.RE</v>
      </c>
      <c r="R20" t="s">
        <v>14</v>
      </c>
      <c r="S20" s="4" t="str">
        <f t="shared" si="1"/>
        <v>BXX Disch. Flow HIHI Alarm Enable</v>
      </c>
      <c r="T20">
        <v>0</v>
      </c>
      <c r="U20">
        <v>0</v>
      </c>
    </row>
    <row r="21" spans="1:64" x14ac:dyDescent="0.25">
      <c r="A21" s="4" t="str">
        <f>$A$3&amp;"_PB_AR"</f>
        <v>BXX_DIH1_FI1_PB_AR</v>
      </c>
      <c r="B21" s="4" t="str">
        <f t="shared" si="2"/>
        <v>BXX_DIH1_FI1</v>
      </c>
      <c r="C21" s="4" t="str">
        <f>$C$3 &amp; " Alarm Reset"</f>
        <v>BXX Disch. Flow Alarm Reset</v>
      </c>
      <c r="D21" s="2">
        <f t="shared" si="0"/>
        <v>27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BXX_DIH1_FI1.PB_AR</v>
      </c>
      <c r="R21" t="s">
        <v>14</v>
      </c>
      <c r="S21" s="4" t="str">
        <f t="shared" si="1"/>
        <v>BXX Disch. Flow Alarm Reset</v>
      </c>
      <c r="T21">
        <v>0</v>
      </c>
      <c r="U21">
        <v>0</v>
      </c>
    </row>
    <row r="22" spans="1:64" x14ac:dyDescent="0.25">
      <c r="A22" s="4" t="str">
        <f>$A$3&amp;"_DA_LO"</f>
        <v>BXX_DIH1_FI1_DA_LO</v>
      </c>
      <c r="B22" s="4" t="str">
        <f t="shared" si="2"/>
        <v>BXX_DIH1_FI1</v>
      </c>
      <c r="C22" s="4" t="str">
        <f>$C$3 &amp; " LO Alarm"</f>
        <v>BXX Disch. Flow LO Alarm</v>
      </c>
      <c r="D22" s="2">
        <f t="shared" si="0"/>
        <v>24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BXX_DIH1_FI1.DA_LO</v>
      </c>
      <c r="R22" t="s">
        <v>14</v>
      </c>
      <c r="S22" s="4" t="str">
        <f t="shared" si="1"/>
        <v>BXX Disch. Flow LO Alarm</v>
      </c>
      <c r="T22">
        <v>0</v>
      </c>
      <c r="U22">
        <v>0</v>
      </c>
    </row>
    <row r="23" spans="1:64" x14ac:dyDescent="0.25">
      <c r="A23" s="4" t="str">
        <f>$A$3&amp;"_PB_LL_DE"</f>
        <v>BXX_DIH1_FI1_PB_LL_DE</v>
      </c>
      <c r="B23" s="4" t="str">
        <f t="shared" si="2"/>
        <v>BXX_DIH1_FI1</v>
      </c>
      <c r="C23" s="4" t="str">
        <f>$C$3 &amp; " LOLO Alarm Dialer Enable"</f>
        <v>BXX Disch. Flow LOLO Alarm Dialer Enable</v>
      </c>
      <c r="D23" s="2">
        <f t="shared" si="0"/>
        <v>40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BXX_DIH1_FI1.PB_LL.DE</v>
      </c>
      <c r="R23" t="s">
        <v>14</v>
      </c>
      <c r="S23" s="4" t="str">
        <f t="shared" si="1"/>
        <v>BXX Disch. Flow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BXX_DIH1_FI1_PB_ER_DE</v>
      </c>
      <c r="B24" s="4" t="str">
        <f t="shared" si="2"/>
        <v>BXX_DIH1_FI1</v>
      </c>
      <c r="C24" s="4" t="str">
        <f>$C$3 &amp; " Signal Error Alarm Dialer En"</f>
        <v>BXX Disch. Flow Signal Error Alarm Dialer En</v>
      </c>
      <c r="D24" s="2">
        <f t="shared" si="0"/>
        <v>44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BXX_DIH1_FI1.PB_ER.DE</v>
      </c>
      <c r="R24" t="s">
        <v>14</v>
      </c>
      <c r="S24" s="4" t="str">
        <f t="shared" si="1"/>
        <v>BXX Disch. Flow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BXX_DIH1_FI1_PB_HH_DE</v>
      </c>
      <c r="B25" s="4" t="str">
        <f t="shared" si="2"/>
        <v>BXX_DIH1_FI1</v>
      </c>
      <c r="C25" s="4" t="str">
        <f>$C$3 &amp; " HIHI Alarm Dialer Enable"</f>
        <v>BXX Disch. Flow HIHI Alarm Dialer Enable</v>
      </c>
      <c r="D25" s="2">
        <f t="shared" si="0"/>
        <v>40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BXX_DIH1_FI1.PB_HH.DE</v>
      </c>
      <c r="R25" t="s">
        <v>14</v>
      </c>
      <c r="S25" s="4" t="str">
        <f t="shared" si="1"/>
        <v>BXX Disch. Flow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BXX_DIH1_FI1_PB_LL_SR</v>
      </c>
      <c r="B26" s="4" t="str">
        <f t="shared" si="2"/>
        <v>BXX_DIH1_FI1</v>
      </c>
      <c r="C26" s="4" t="str">
        <f>$C$3 &amp; " LOLO Alarm Sup Enable"</f>
        <v>BXX Disch. Flow LOLO Alarm Sup Enable</v>
      </c>
      <c r="D26" s="2">
        <f t="shared" si="0"/>
        <v>37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BXX_DIH1_FI1.PB_LL.SR</v>
      </c>
      <c r="R26" t="s">
        <v>14</v>
      </c>
      <c r="S26" s="4" t="str">
        <f t="shared" si="1"/>
        <v>BXX Disch. Flow LOLO Alarm Sup Enable</v>
      </c>
      <c r="T26">
        <v>0</v>
      </c>
      <c r="U26">
        <v>0</v>
      </c>
    </row>
    <row r="27" spans="1:64" x14ac:dyDescent="0.25">
      <c r="A27" s="4" t="str">
        <f>$A$3&amp;"_PB_ER_SR"</f>
        <v>BXX_DIH1_FI1_PB_ER_SR</v>
      </c>
      <c r="B27" s="4" t="str">
        <f t="shared" si="2"/>
        <v>BXX_DIH1_FI1</v>
      </c>
      <c r="C27" s="4" t="str">
        <f>$C$3 &amp; " Signal Error Alarm Sup En"</f>
        <v>BXX Disch. Flow Signal Error Alarm Sup En</v>
      </c>
      <c r="D27" s="2">
        <f t="shared" si="0"/>
        <v>41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BXX_DIH1_FI1.PB_ER.SR</v>
      </c>
      <c r="R27" t="s">
        <v>14</v>
      </c>
      <c r="S27" s="4" t="str">
        <f t="shared" si="1"/>
        <v>BXX Disch. Flow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BXX_DIH1_FI1_PB_HH_SR</v>
      </c>
      <c r="B28" s="4" t="str">
        <f t="shared" si="2"/>
        <v>BXX_DIH1_FI1</v>
      </c>
      <c r="C28" s="4" t="str">
        <f>$C$3 &amp; " HIHI Alarm Sup Enable"</f>
        <v>BXX Disch. Flow HIHI Alarm Sup Enable</v>
      </c>
      <c r="D28" s="2">
        <f t="shared" si="0"/>
        <v>37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BXX_DIH1_FI1.PB_HH.SR</v>
      </c>
      <c r="R28" t="s">
        <v>14</v>
      </c>
      <c r="S28" s="4" t="str">
        <f t="shared" si="1"/>
        <v>BXX Disch. Flow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BXX_DIH1_FI1_AI_VI</v>
      </c>
      <c r="B30" s="4" t="str">
        <f t="shared" ref="B30:B31" si="4">$A$3</f>
        <v>BXX_DIH1_FI1</v>
      </c>
      <c r="C30" s="4" t="str">
        <f>$C$3 &amp; " Number of Visible Eng Values"</f>
        <v>BXX Disch. Flow Number of Visible Eng Values</v>
      </c>
      <c r="D30" s="2">
        <f t="shared" ref="D30:D31" si="5">LEN(C30)</f>
        <v>44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BXX_DIH1_FI1.AI_VI</v>
      </c>
      <c r="AU30" t="s">
        <v>14</v>
      </c>
      <c r="AV30" s="4" t="str">
        <f>C30</f>
        <v>BXX Disch. Flow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BXX_DIH1_FI1_AI_DC</v>
      </c>
      <c r="B31" s="4" t="str">
        <f t="shared" si="4"/>
        <v>BXX_DIH1_FI1</v>
      </c>
      <c r="C31" s="4" t="str">
        <f>$C$3 &amp; " Precision"</f>
        <v>BXX Disch. Flow Precision</v>
      </c>
      <c r="D31" s="2">
        <f t="shared" si="5"/>
        <v>25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BXX_DIH1_FI1.AI_DC</v>
      </c>
      <c r="AU31" t="s">
        <v>14</v>
      </c>
      <c r="AV31" s="4" t="str">
        <f t="shared" ref="AV31" si="9">C31</f>
        <v>BXX Disch. Flow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BXX_DIH1_FI1_SN_LL</v>
      </c>
      <c r="B33" s="4" t="str">
        <f t="shared" ref="B33:C48" si="10">$A$3</f>
        <v>BXX_DIH1_FI1</v>
      </c>
      <c r="C33" s="4" t="str">
        <f>$C$3 &amp; " LOLO Alarm Delay"</f>
        <v>BXX Disch. Flow LOLO Alarm Delay</v>
      </c>
      <c r="D33" s="2">
        <f t="shared" ref="D33:D90" si="11">LEN(C33)</f>
        <v>32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BXX_DIH1_FI1.SN_LL</v>
      </c>
      <c r="AU33" t="s">
        <v>14</v>
      </c>
      <c r="AV33" s="4" t="str">
        <f>C33</f>
        <v>BXX Disch. Flow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BXX_DIH1_FI1_SN_HI</v>
      </c>
      <c r="B34" s="4" t="str">
        <f t="shared" si="10"/>
        <v>BXX_DIH1_FI1</v>
      </c>
      <c r="C34" s="4" t="str">
        <f>$C$3 &amp; " High Alarm Delay"</f>
        <v>BXX Disch. Flow High Alarm Delay</v>
      </c>
      <c r="D34" s="2">
        <f t="shared" si="11"/>
        <v>32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6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6" si="13">N34</f>
        <v>0</v>
      </c>
      <c r="AP34" s="4">
        <f t="shared" si="13"/>
        <v>999</v>
      </c>
      <c r="AQ34" t="s">
        <v>108</v>
      </c>
      <c r="AR34" s="4" t="str">
        <f t="shared" ref="AR34:AR46" si="14">$O$6</f>
        <v>BXX</v>
      </c>
      <c r="AS34" t="s">
        <v>14</v>
      </c>
      <c r="AT34" s="4" t="str">
        <f>$A$3&amp;".SN_HI"</f>
        <v>BXX_DIH1_FI1.SN_HI</v>
      </c>
      <c r="AU34" t="s">
        <v>14</v>
      </c>
      <c r="AV34" s="4" t="str">
        <f t="shared" ref="AV34:AV46" si="15">C34</f>
        <v>BXX Disch. Flow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BXX_DIH1_FI1_AI_CV</v>
      </c>
      <c r="B35" s="4" t="str">
        <f t="shared" si="10"/>
        <v>BXX_DIH1_FI1</v>
      </c>
      <c r="C35" s="4" t="str">
        <f>$C$3 &amp; " Current Value"</f>
        <v>BXX Disch. Flow Current Value</v>
      </c>
      <c r="D35" s="2">
        <f t="shared" si="11"/>
        <v>29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121</v>
      </c>
      <c r="M35" s="4">
        <f t="shared" si="12"/>
        <v>0</v>
      </c>
      <c r="N35" s="3">
        <v>0</v>
      </c>
      <c r="O35" s="3">
        <v>150</v>
      </c>
      <c r="P35">
        <v>0</v>
      </c>
      <c r="Q35" s="4">
        <f>(O35-N35)*0.01</f>
        <v>1.5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150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BXX_DIH1_FI1.AI_CV</v>
      </c>
      <c r="AU35" t="s">
        <v>14</v>
      </c>
      <c r="AV35" s="4" t="str">
        <f t="shared" si="15"/>
        <v>BXX Disch. Flow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s="5" customFormat="1" x14ac:dyDescent="0.25">
      <c r="A36" s="4" t="str">
        <f>$A$3&amp;"_AI_TD"</f>
        <v>BXX_DIH1_FI1_AI_TD</v>
      </c>
      <c r="B36" s="4" t="str">
        <f t="shared" si="10"/>
        <v>BXX_DIH1_FI1</v>
      </c>
      <c r="C36" s="4" t="str">
        <f>$C$3 &amp; " Total Today"</f>
        <v>BXX Disch. Flow Total Today</v>
      </c>
      <c r="D36" s="2">
        <f t="shared" si="11"/>
        <v>27</v>
      </c>
      <c r="E36" s="5" t="s">
        <v>13</v>
      </c>
      <c r="F36" s="5" t="s">
        <v>14</v>
      </c>
      <c r="G36" s="5">
        <v>0</v>
      </c>
      <c r="H36" s="5" t="s">
        <v>13</v>
      </c>
      <c r="I36" s="5" t="s">
        <v>14</v>
      </c>
      <c r="J36" s="5">
        <v>0</v>
      </c>
      <c r="K36" s="5">
        <v>0</v>
      </c>
      <c r="L36" s="5" t="s">
        <v>169</v>
      </c>
      <c r="M36" s="4">
        <f t="shared" si="12"/>
        <v>0</v>
      </c>
      <c r="N36" s="3">
        <v>0</v>
      </c>
      <c r="O36" s="3">
        <v>20000</v>
      </c>
      <c r="P36" s="5">
        <v>0</v>
      </c>
      <c r="Q36" s="5">
        <v>1</v>
      </c>
      <c r="R36" s="5" t="s">
        <v>54</v>
      </c>
      <c r="S36" s="5">
        <v>0</v>
      </c>
      <c r="T36" s="5">
        <v>1</v>
      </c>
      <c r="U36" s="5" t="s">
        <v>54</v>
      </c>
      <c r="V36" s="5">
        <v>0</v>
      </c>
      <c r="W36" s="5">
        <v>1</v>
      </c>
      <c r="X36" s="5" t="s">
        <v>54</v>
      </c>
      <c r="Y36" s="5">
        <v>0</v>
      </c>
      <c r="Z36" s="5">
        <v>1</v>
      </c>
      <c r="AA36" s="5" t="s">
        <v>54</v>
      </c>
      <c r="AB36" s="5">
        <v>0</v>
      </c>
      <c r="AC36" s="5">
        <v>1</v>
      </c>
      <c r="AD36" s="5" t="s">
        <v>54</v>
      </c>
      <c r="AE36" s="5">
        <v>0</v>
      </c>
      <c r="AF36" s="5">
        <v>1</v>
      </c>
      <c r="AG36" s="5" t="s">
        <v>54</v>
      </c>
      <c r="AH36" s="5">
        <v>0</v>
      </c>
      <c r="AI36" s="5">
        <v>1</v>
      </c>
      <c r="AJ36" s="5">
        <v>0</v>
      </c>
      <c r="AK36" s="5" t="s">
        <v>54</v>
      </c>
      <c r="AL36" s="5">
        <v>0</v>
      </c>
      <c r="AM36" s="5">
        <v>1</v>
      </c>
      <c r="AN36" s="5" t="s">
        <v>107</v>
      </c>
      <c r="AO36" s="4">
        <f t="shared" si="13"/>
        <v>0</v>
      </c>
      <c r="AP36" s="4">
        <f t="shared" si="13"/>
        <v>20000</v>
      </c>
      <c r="AQ36" s="5" t="s">
        <v>108</v>
      </c>
      <c r="AR36" s="4" t="str">
        <f t="shared" si="14"/>
        <v>BXX</v>
      </c>
      <c r="AS36" s="5" t="s">
        <v>14</v>
      </c>
      <c r="AT36" s="4" t="str">
        <f>$A$3&amp;".AI_TD"</f>
        <v>BXX_DIH1_FI1.AI_TD</v>
      </c>
      <c r="AU36" s="5" t="s">
        <v>14</v>
      </c>
      <c r="AV36" s="4" t="str">
        <f t="shared" si="15"/>
        <v>BXX Disch. Flow Total Today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</row>
    <row r="37" spans="1:56" s="5" customFormat="1" x14ac:dyDescent="0.25">
      <c r="A37" s="4" t="str">
        <f>$A$3&amp;"_AI_YT"</f>
        <v>BXX_DIH1_FI1_AI_YT</v>
      </c>
      <c r="B37" s="4" t="str">
        <f t="shared" si="10"/>
        <v>BXX_DIH1_FI1</v>
      </c>
      <c r="C37" s="4" t="str">
        <f>$C$3 &amp; " Total Yesterday"</f>
        <v>BXX Disch. Flow Total Yesterday</v>
      </c>
      <c r="D37" s="2">
        <f t="shared" si="11"/>
        <v>31</v>
      </c>
      <c r="E37" s="5" t="s">
        <v>13</v>
      </c>
      <c r="F37" s="5" t="s">
        <v>14</v>
      </c>
      <c r="G37" s="5">
        <v>0</v>
      </c>
      <c r="H37" s="5" t="s">
        <v>13</v>
      </c>
      <c r="I37" s="5" t="s">
        <v>14</v>
      </c>
      <c r="J37" s="5">
        <v>0</v>
      </c>
      <c r="K37" s="5">
        <v>0</v>
      </c>
      <c r="L37" s="5" t="str">
        <f>L36</f>
        <v>m3</v>
      </c>
      <c r="M37" s="4">
        <f t="shared" si="12"/>
        <v>0</v>
      </c>
      <c r="N37" s="4">
        <f>$N$36</f>
        <v>0</v>
      </c>
      <c r="O37" s="4">
        <f>$O$36</f>
        <v>20000</v>
      </c>
      <c r="P37" s="5">
        <v>0</v>
      </c>
      <c r="Q37" s="5">
        <v>1</v>
      </c>
      <c r="R37" s="5" t="s">
        <v>54</v>
      </c>
      <c r="S37" s="5">
        <v>0</v>
      </c>
      <c r="T37" s="5">
        <v>1</v>
      </c>
      <c r="U37" s="5" t="s">
        <v>54</v>
      </c>
      <c r="V37" s="5">
        <v>0</v>
      </c>
      <c r="W37" s="5">
        <v>1</v>
      </c>
      <c r="X37" s="5" t="s">
        <v>54</v>
      </c>
      <c r="Y37" s="5">
        <v>0</v>
      </c>
      <c r="Z37" s="5">
        <v>1</v>
      </c>
      <c r="AA37" s="5" t="s">
        <v>54</v>
      </c>
      <c r="AB37" s="5">
        <v>0</v>
      </c>
      <c r="AC37" s="5">
        <v>1</v>
      </c>
      <c r="AD37" s="5" t="s">
        <v>54</v>
      </c>
      <c r="AE37" s="5">
        <v>0</v>
      </c>
      <c r="AF37" s="5">
        <v>1</v>
      </c>
      <c r="AG37" s="5" t="s">
        <v>54</v>
      </c>
      <c r="AH37" s="5">
        <v>0</v>
      </c>
      <c r="AI37" s="5">
        <v>1</v>
      </c>
      <c r="AJ37" s="5">
        <v>0</v>
      </c>
      <c r="AK37" s="5" t="s">
        <v>54</v>
      </c>
      <c r="AL37" s="5">
        <v>0</v>
      </c>
      <c r="AM37" s="5">
        <v>1</v>
      </c>
      <c r="AN37" s="5" t="s">
        <v>107</v>
      </c>
      <c r="AO37" s="4">
        <f t="shared" si="13"/>
        <v>0</v>
      </c>
      <c r="AP37" s="4">
        <f t="shared" si="13"/>
        <v>20000</v>
      </c>
      <c r="AQ37" s="5" t="s">
        <v>108</v>
      </c>
      <c r="AR37" s="4" t="str">
        <f t="shared" si="14"/>
        <v>BXX</v>
      </c>
      <c r="AS37" s="5" t="s">
        <v>14</v>
      </c>
      <c r="AT37" s="4" t="str">
        <f>$A$3&amp;".AI_YT"</f>
        <v>BXX_DIH1_FI1.AI_YT</v>
      </c>
      <c r="AU37" s="5" t="s">
        <v>14</v>
      </c>
      <c r="AV37" s="4" t="str">
        <f t="shared" si="15"/>
        <v>BXX Disch. Flow Total Yesterday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</row>
    <row r="38" spans="1:56" x14ac:dyDescent="0.25">
      <c r="A38" s="4" t="str">
        <f>$A$3&amp;"_AO_XM"</f>
        <v>BXX_DIH1_FI1_AO_XM</v>
      </c>
      <c r="B38" s="4" t="str">
        <f t="shared" si="10"/>
        <v>BXX_DIH1_FI1</v>
      </c>
      <c r="C38" s="4" t="str">
        <f>$C$3 &amp; " Span Setpoint"</f>
        <v>BXX Disch. Flow Span Setpoint</v>
      </c>
      <c r="D38" s="2">
        <f t="shared" si="11"/>
        <v>29</v>
      </c>
      <c r="E38" t="s">
        <v>14</v>
      </c>
      <c r="F38" t="s">
        <v>13</v>
      </c>
      <c r="G38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ref="L38:L43" si="16">$L$35</f>
        <v>L/s</v>
      </c>
      <c r="M38" s="4">
        <f t="shared" si="12"/>
        <v>0</v>
      </c>
      <c r="N38" s="4">
        <f t="shared" ref="N38:N43" si="17">$N$35</f>
        <v>0</v>
      </c>
      <c r="O38" s="4">
        <f t="shared" ref="O38:O43" si="18">$O$35</f>
        <v>150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150</v>
      </c>
      <c r="AQ38" t="s">
        <v>108</v>
      </c>
      <c r="AR38" s="4" t="str">
        <f t="shared" si="14"/>
        <v>BXX</v>
      </c>
      <c r="AS38" t="s">
        <v>14</v>
      </c>
      <c r="AT38" s="4" t="str">
        <f>$A$3&amp;".AO_XM"</f>
        <v>BXX_DIH1_FI1.AO_XM</v>
      </c>
      <c r="AU38" t="s">
        <v>14</v>
      </c>
      <c r="AV38" s="4" t="str">
        <f t="shared" si="15"/>
        <v>BXX Disch. Flow Span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$A$3&amp;"_AO_LO"</f>
        <v>BXX_DIH1_FI1_AO_LO</v>
      </c>
      <c r="B39" s="4" t="str">
        <f t="shared" si="10"/>
        <v>BXX_DIH1_FI1</v>
      </c>
      <c r="C39" s="4" t="str">
        <f>$C$3 &amp; " Low Setpoint"</f>
        <v>BXX Disch. Flow Low Setpoint</v>
      </c>
      <c r="D39" s="2">
        <f t="shared" si="11"/>
        <v>28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L/s</v>
      </c>
      <c r="M39" s="4">
        <f t="shared" si="12"/>
        <v>0</v>
      </c>
      <c r="N39" s="4">
        <f t="shared" si="17"/>
        <v>0</v>
      </c>
      <c r="O39" s="4">
        <f t="shared" si="18"/>
        <v>150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150</v>
      </c>
      <c r="AQ39" t="s">
        <v>108</v>
      </c>
      <c r="AR39" s="4" t="str">
        <f t="shared" si="14"/>
        <v>BXX</v>
      </c>
      <c r="AS39" t="s">
        <v>14</v>
      </c>
      <c r="AT39" s="4" t="str">
        <f>$A$3&amp;".AO_LO"</f>
        <v>BXX_DIH1_FI1.AO_LO</v>
      </c>
      <c r="AU39" t="s">
        <v>14</v>
      </c>
      <c r="AV39" s="4" t="str">
        <f t="shared" si="15"/>
        <v>BXX Disch. Flow Low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$A$3&amp;"_AO_HH"</f>
        <v>BXX_DIH1_FI1_AO_HH</v>
      </c>
      <c r="B40" s="4" t="str">
        <f t="shared" si="10"/>
        <v>BXX_DIH1_FI1</v>
      </c>
      <c r="C40" s="4" t="str">
        <f>$C$3 &amp; " HIHI Setpoint"</f>
        <v>BXX Disch. Flow HIHI Setpoint</v>
      </c>
      <c r="D40" s="2">
        <f t="shared" si="11"/>
        <v>29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L/s</v>
      </c>
      <c r="M40" s="4">
        <f t="shared" si="12"/>
        <v>0</v>
      </c>
      <c r="N40" s="4">
        <f t="shared" si="17"/>
        <v>0</v>
      </c>
      <c r="O40" s="4">
        <f t="shared" si="18"/>
        <v>150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150</v>
      </c>
      <c r="AQ40" t="s">
        <v>108</v>
      </c>
      <c r="AR40" s="4" t="str">
        <f t="shared" si="14"/>
        <v>BXX</v>
      </c>
      <c r="AS40" t="s">
        <v>14</v>
      </c>
      <c r="AT40" s="4" t="str">
        <f>$A$3&amp;".AO_HH"</f>
        <v>BXX_DIH1_FI1.AO_HH</v>
      </c>
      <c r="AU40" t="s">
        <v>14</v>
      </c>
      <c r="AV40" s="4" t="str">
        <f t="shared" si="15"/>
        <v>BXX Disch. Flow HIHI Setpoint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$A$3&amp;"_AO_HI"</f>
        <v>BXX_DIH1_FI1_AO_HI</v>
      </c>
      <c r="B41" s="4" t="str">
        <f t="shared" si="10"/>
        <v>BXX_DIH1_FI1</v>
      </c>
      <c r="C41" s="4" t="str">
        <f>$C$3 &amp; " High Setpoint"</f>
        <v>BXX Disch. Flow High Setpoint</v>
      </c>
      <c r="D41" s="2">
        <f t="shared" si="11"/>
        <v>29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L/s</v>
      </c>
      <c r="M41" s="4">
        <f t="shared" si="12"/>
        <v>0</v>
      </c>
      <c r="N41" s="4">
        <f t="shared" si="17"/>
        <v>0</v>
      </c>
      <c r="O41" s="4">
        <f t="shared" si="18"/>
        <v>150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150</v>
      </c>
      <c r="AQ41" t="s">
        <v>108</v>
      </c>
      <c r="AR41" s="4" t="str">
        <f t="shared" si="14"/>
        <v>BXX</v>
      </c>
      <c r="AS41" t="s">
        <v>14</v>
      </c>
      <c r="AT41" s="4" t="str">
        <f>$A$3&amp;".AO_HI"</f>
        <v>BXX_DIH1_FI1.AO_HI</v>
      </c>
      <c r="AU41" t="s">
        <v>14</v>
      </c>
      <c r="AV41" s="4" t="str">
        <f t="shared" si="15"/>
        <v>BXX Disch. Flow High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$A$3&amp;"_AO_SV"</f>
        <v>BXX_DIH1_FI1_AO_SV</v>
      </c>
      <c r="B42" s="4" t="str">
        <f t="shared" si="10"/>
        <v>BXX_DIH1_FI1</v>
      </c>
      <c r="C42" s="4" t="str">
        <f>$C$3 &amp; " Override Value"</f>
        <v>BXX Disch. Flow Override Value</v>
      </c>
      <c r="D42" s="2">
        <f t="shared" si="11"/>
        <v>30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s="5" t="str">
        <f t="shared" si="16"/>
        <v>L/s</v>
      </c>
      <c r="M42" s="4">
        <f t="shared" si="12"/>
        <v>0</v>
      </c>
      <c r="N42" s="4">
        <f t="shared" si="17"/>
        <v>0</v>
      </c>
      <c r="O42" s="4">
        <f t="shared" si="18"/>
        <v>150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150</v>
      </c>
      <c r="AQ42" t="s">
        <v>108</v>
      </c>
      <c r="AR42" s="4" t="str">
        <f t="shared" si="14"/>
        <v>BXX</v>
      </c>
      <c r="AS42" t="s">
        <v>14</v>
      </c>
      <c r="AT42" s="4" t="str">
        <f>$A$3&amp;".AO_SV"</f>
        <v>BXX_DIH1_FI1.AO_SV</v>
      </c>
      <c r="AU42" t="s">
        <v>14</v>
      </c>
      <c r="AV42" s="4" t="str">
        <f t="shared" si="15"/>
        <v>BXX Disch. Flow Override Value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$A$3&amp;"_AO_EM"</f>
        <v>BXX_DIH1_FI1_AO_EM</v>
      </c>
      <c r="B43" s="4" t="str">
        <f t="shared" si="10"/>
        <v>BXX_DIH1_FI1</v>
      </c>
      <c r="C43" s="4" t="str">
        <f>$C$3 &amp; " Zero Setpoint"</f>
        <v>BXX Disch. Flow Zero Setpoint</v>
      </c>
      <c r="D43" s="2">
        <f t="shared" si="11"/>
        <v>29</v>
      </c>
      <c r="E43" t="s">
        <v>14</v>
      </c>
      <c r="F43" t="s">
        <v>13</v>
      </c>
      <c r="G43">
        <v>900</v>
      </c>
      <c r="H43" t="s">
        <v>13</v>
      </c>
      <c r="I43" t="s">
        <v>14</v>
      </c>
      <c r="J43">
        <v>0</v>
      </c>
      <c r="K43">
        <v>0</v>
      </c>
      <c r="L43" s="5" t="str">
        <f t="shared" si="16"/>
        <v>L/s</v>
      </c>
      <c r="M43" s="4">
        <f t="shared" si="12"/>
        <v>0</v>
      </c>
      <c r="N43" s="4">
        <f t="shared" si="17"/>
        <v>0</v>
      </c>
      <c r="O43" s="4">
        <f t="shared" si="18"/>
        <v>150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150</v>
      </c>
      <c r="AQ43" t="s">
        <v>108</v>
      </c>
      <c r="AR43" s="4" t="str">
        <f t="shared" si="14"/>
        <v>BXX</v>
      </c>
      <c r="AS43" t="s">
        <v>14</v>
      </c>
      <c r="AT43" s="4" t="str">
        <f>$A$3&amp;".AO_EM"</f>
        <v>BXX_DIH1_FI1.AO_EM</v>
      </c>
      <c r="AU43" t="s">
        <v>14</v>
      </c>
      <c r="AV43" s="4" t="str">
        <f t="shared" si="15"/>
        <v>BXX Disch. Flow Zero Setpoint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$A$3&amp;"_SN_HH"</f>
        <v>BXX_DIH1_FI1_SN_HH</v>
      </c>
      <c r="B44" s="4" t="str">
        <f t="shared" si="10"/>
        <v>BXX_DIH1_FI1</v>
      </c>
      <c r="C44" s="4" t="str">
        <f>$C$3 &amp; " HIHI Alarm Delay"</f>
        <v>BXX Disch. Flow HIHI Alarm Delay</v>
      </c>
      <c r="D44" s="2">
        <f t="shared" si="11"/>
        <v>32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109</v>
      </c>
      <c r="M44" s="4">
        <f t="shared" si="12"/>
        <v>0</v>
      </c>
      <c r="N44">
        <v>0</v>
      </c>
      <c r="O44">
        <v>999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999</v>
      </c>
      <c r="AQ44" t="s">
        <v>108</v>
      </c>
      <c r="AR44" s="4" t="str">
        <f t="shared" si="14"/>
        <v>BXX</v>
      </c>
      <c r="AS44" t="s">
        <v>14</v>
      </c>
      <c r="AT44" s="4" t="str">
        <f>$A$3&amp;".SN_HH"</f>
        <v>BXX_DIH1_FI1.SN_HH</v>
      </c>
      <c r="AU44" t="s">
        <v>14</v>
      </c>
      <c r="AV44" s="4" t="str">
        <f t="shared" si="15"/>
        <v>BXX Disch. Flow HIHI Alarm Delay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s="4" t="str">
        <f>$A$3&amp;"_SN_LO"</f>
        <v>BXX_DIH1_FI1_SN_LO</v>
      </c>
      <c r="B45" s="4" t="str">
        <f t="shared" si="10"/>
        <v>BXX_DIH1_FI1</v>
      </c>
      <c r="C45" s="4" t="str">
        <f>$C$3 &amp; " Low Alarm Delay"</f>
        <v>BXX Disch. Flow Low Alarm Delay</v>
      </c>
      <c r="D45" s="2">
        <f t="shared" si="11"/>
        <v>31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109</v>
      </c>
      <c r="M45" s="4">
        <f t="shared" si="12"/>
        <v>0</v>
      </c>
      <c r="N45">
        <v>0</v>
      </c>
      <c r="O45">
        <v>999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 s="4">
        <f t="shared" si="13"/>
        <v>0</v>
      </c>
      <c r="AP45" s="4">
        <f t="shared" si="13"/>
        <v>999</v>
      </c>
      <c r="AQ45" t="s">
        <v>108</v>
      </c>
      <c r="AR45" s="4" t="str">
        <f t="shared" si="14"/>
        <v>BXX</v>
      </c>
      <c r="AS45" t="s">
        <v>14</v>
      </c>
      <c r="AT45" s="4" t="str">
        <f>$A$3&amp;".SN_LO"</f>
        <v>BXX_DIH1_FI1.SN_LO</v>
      </c>
      <c r="AU45" t="s">
        <v>14</v>
      </c>
      <c r="AV45" s="4" t="str">
        <f t="shared" si="15"/>
        <v>BXX Disch. Flow Low Alarm Delay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56" x14ac:dyDescent="0.25">
      <c r="A46" s="4" t="str">
        <f>$A$3&amp;"_AO_LL"</f>
        <v>BXX_DIH1_FI1_AO_LL</v>
      </c>
      <c r="B46" s="4" t="str">
        <f t="shared" si="10"/>
        <v>BXX_DIH1_FI1</v>
      </c>
      <c r="C46" s="4" t="str">
        <f>$C$3 &amp; " LOLO Setpoint"</f>
        <v>BXX Disch. Flow LOLO Setpoint</v>
      </c>
      <c r="D46" s="2">
        <f t="shared" si="11"/>
        <v>29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s="5" t="str">
        <f t="shared" ref="L46" si="19">$L$35</f>
        <v>L/s</v>
      </c>
      <c r="M46" s="4">
        <f t="shared" si="12"/>
        <v>0</v>
      </c>
      <c r="N46" s="4">
        <f t="shared" ref="N46" si="20">$N$35</f>
        <v>0</v>
      </c>
      <c r="O46" s="4">
        <f t="shared" ref="O46" si="21">$O$35</f>
        <v>150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 s="4">
        <f t="shared" si="13"/>
        <v>0</v>
      </c>
      <c r="AP46" s="4">
        <f t="shared" si="13"/>
        <v>150</v>
      </c>
      <c r="AQ46" t="s">
        <v>108</v>
      </c>
      <c r="AR46" s="4" t="str">
        <f t="shared" si="14"/>
        <v>BXX</v>
      </c>
      <c r="AS46" t="s">
        <v>14</v>
      </c>
      <c r="AT46" s="4" t="str">
        <f>$A$3&amp;".AO_LL"</f>
        <v>BXX_DIH1_FI1.AO_LL</v>
      </c>
      <c r="AU46" t="s">
        <v>14</v>
      </c>
      <c r="AV46" s="4" t="str">
        <f t="shared" si="15"/>
        <v>BXX Disch. Flow LOLO Setpoint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56" x14ac:dyDescent="0.25">
      <c r="A47" t="s">
        <v>123</v>
      </c>
      <c r="B47" t="s">
        <v>16</v>
      </c>
      <c r="C47" t="s">
        <v>17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51</v>
      </c>
      <c r="L47" t="s">
        <v>53</v>
      </c>
    </row>
    <row r="48" spans="1:56" x14ac:dyDescent="0.25">
      <c r="A48" s="4" t="str">
        <f>$A$3&amp;"_DI_NM"</f>
        <v>BXX_DIH1_FI1_DI_NM</v>
      </c>
      <c r="B48" s="4" t="str">
        <f t="shared" si="10"/>
        <v>BXX_DIH1_FI1</v>
      </c>
      <c r="C48" s="4" t="str">
        <f t="shared" si="10"/>
        <v>BXX_DIH1_FI1</v>
      </c>
      <c r="D48" s="2">
        <f t="shared" si="11"/>
        <v>12</v>
      </c>
      <c r="E48" t="s">
        <v>14</v>
      </c>
      <c r="F48" t="s">
        <v>14</v>
      </c>
      <c r="G48">
        <v>0</v>
      </c>
      <c r="H48" t="s">
        <v>13</v>
      </c>
      <c r="I48">
        <v>24</v>
      </c>
      <c r="J48" t="s">
        <v>116</v>
      </c>
      <c r="K48" t="s">
        <v>116</v>
      </c>
      <c r="L48" t="s">
        <v>13</v>
      </c>
    </row>
    <row r="49" spans="1:16" x14ac:dyDescent="0.25">
      <c r="A49" t="s">
        <v>126</v>
      </c>
      <c r="B49" t="s">
        <v>127</v>
      </c>
      <c r="C49" t="s">
        <v>128</v>
      </c>
      <c r="D49" s="2">
        <f t="shared" si="11"/>
        <v>20</v>
      </c>
      <c r="E49" t="s">
        <v>14</v>
      </c>
      <c r="F49" t="s">
        <v>14</v>
      </c>
      <c r="G49">
        <v>0</v>
      </c>
      <c r="H49" t="s">
        <v>14</v>
      </c>
      <c r="I49">
        <v>131</v>
      </c>
    </row>
    <row r="50" spans="1:16" x14ac:dyDescent="0.25">
      <c r="A50" t="s">
        <v>604</v>
      </c>
      <c r="B50" t="s">
        <v>127</v>
      </c>
      <c r="C50" t="s">
        <v>129</v>
      </c>
      <c r="D50" s="2">
        <f t="shared" si="11"/>
        <v>32</v>
      </c>
      <c r="E50" t="s">
        <v>14</v>
      </c>
      <c r="F50" t="s">
        <v>14</v>
      </c>
      <c r="G50">
        <v>0</v>
      </c>
      <c r="H50" t="s">
        <v>14</v>
      </c>
      <c r="I50">
        <v>131</v>
      </c>
    </row>
    <row r="51" spans="1:16" x14ac:dyDescent="0.25">
      <c r="A51" t="s">
        <v>130</v>
      </c>
      <c r="B51" t="s">
        <v>16</v>
      </c>
      <c r="C51" t="s">
        <v>17</v>
      </c>
      <c r="D51" s="2">
        <f t="shared" si="11"/>
        <v>7</v>
      </c>
      <c r="E51" t="s">
        <v>39</v>
      </c>
      <c r="F51" t="s">
        <v>18</v>
      </c>
      <c r="G51" t="s">
        <v>19</v>
      </c>
      <c r="H51" t="s">
        <v>40</v>
      </c>
      <c r="I51" t="s">
        <v>124</v>
      </c>
      <c r="J51" t="s">
        <v>125</v>
      </c>
      <c r="K51" t="s">
        <v>47</v>
      </c>
      <c r="L51" t="s">
        <v>48</v>
      </c>
      <c r="M51" t="s">
        <v>49</v>
      </c>
      <c r="N51" t="s">
        <v>50</v>
      </c>
      <c r="O51" t="s">
        <v>51</v>
      </c>
      <c r="P51" t="s">
        <v>53</v>
      </c>
    </row>
    <row r="52" spans="1:16" x14ac:dyDescent="0.25">
      <c r="A52" s="4" t="str">
        <f>$A$3&amp;"_PB_HH_RN"</f>
        <v>BXX_DIH1_FI1_PB_HH_RN</v>
      </c>
      <c r="B52" s="4" t="str">
        <f>$A$3</f>
        <v>BXX_DIH1_FI1</v>
      </c>
      <c r="C52" s="4" t="str">
        <f>$C$3 &amp; " HIHI Alarm Disabled Reason"</f>
        <v>BXX Disch. Flow HIHI Alarm Disabled Reason</v>
      </c>
      <c r="D52" s="2">
        <f t="shared" si="11"/>
        <v>42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">
        <v>630</v>
      </c>
      <c r="L52" t="s">
        <v>13</v>
      </c>
      <c r="M52" s="4" t="str">
        <f>A52</f>
        <v>BXX_DIH1_FI1_PB_HH_RN</v>
      </c>
      <c r="N52" t="s">
        <v>14</v>
      </c>
      <c r="O52" s="4" t="str">
        <f>C52</f>
        <v>BXX Disch. Flow HIHI Alarm Disabled Reason</v>
      </c>
    </row>
    <row r="53" spans="1:16" x14ac:dyDescent="0.25">
      <c r="A53" s="4" t="str">
        <f>$A$3&amp;"_PB_LL_RN"</f>
        <v>BXX_DIH1_FI1_PB_LL_RN</v>
      </c>
      <c r="B53" s="4" t="str">
        <f t="shared" ref="B53:B54" si="22">$A$3</f>
        <v>BXX_DIH1_FI1</v>
      </c>
      <c r="C53" s="4" t="str">
        <f>$C$3 &amp; " LOLO Alarm Disabled Reason"</f>
        <v>BXX Disch. Flow LOLO Alarm Disabled Reason</v>
      </c>
      <c r="D53" s="2">
        <f t="shared" si="11"/>
        <v>42</v>
      </c>
      <c r="E53" t="s">
        <v>14</v>
      </c>
      <c r="F53" t="s">
        <v>14</v>
      </c>
      <c r="G53">
        <v>0</v>
      </c>
      <c r="H53" t="s">
        <v>13</v>
      </c>
      <c r="I53">
        <v>131</v>
      </c>
      <c r="J53" t="s">
        <v>131</v>
      </c>
      <c r="K53" s="5" t="str">
        <f>$K$52</f>
        <v>BXXCPU01_1</v>
      </c>
      <c r="L53" t="s">
        <v>13</v>
      </c>
      <c r="M53" s="4" t="str">
        <f t="shared" ref="M53:M54" si="23">A53</f>
        <v>BXX_DIH1_FI1_PB_LL_RN</v>
      </c>
      <c r="N53" t="s">
        <v>14</v>
      </c>
      <c r="O53" s="4" t="str">
        <f t="shared" ref="O53:O54" si="24">C53</f>
        <v>BXX Disch. Flow LOLO Alarm Disabled Reason</v>
      </c>
    </row>
    <row r="54" spans="1:16" x14ac:dyDescent="0.25">
      <c r="A54" s="4" t="str">
        <f>$A$3&amp;"_PB_ER_RN"</f>
        <v>BXX_DIH1_FI1_PB_ER_RN</v>
      </c>
      <c r="B54" s="4" t="str">
        <f t="shared" si="22"/>
        <v>BXX_DIH1_FI1</v>
      </c>
      <c r="C54" s="4" t="str">
        <f>$C$3 &amp; " Sig Error Alarm Dis Reason"</f>
        <v>BXX Disch. Flow Sig Error Alarm Dis Reason</v>
      </c>
      <c r="D54" s="2">
        <f t="shared" si="11"/>
        <v>42</v>
      </c>
      <c r="E54" t="s">
        <v>14</v>
      </c>
      <c r="F54" t="s">
        <v>14</v>
      </c>
      <c r="G54">
        <v>0</v>
      </c>
      <c r="H54" t="s">
        <v>13</v>
      </c>
      <c r="I54">
        <v>131</v>
      </c>
      <c r="J54" t="s">
        <v>131</v>
      </c>
      <c r="K54" s="5" t="str">
        <f>$K$52</f>
        <v>BXXCPU01_1</v>
      </c>
      <c r="L54" t="s">
        <v>13</v>
      </c>
      <c r="M54" s="4" t="str">
        <f t="shared" si="23"/>
        <v>BXX_DIH1_FI1_PB_ER_RN</v>
      </c>
      <c r="N54" t="s">
        <v>14</v>
      </c>
      <c r="O54" s="4" t="str">
        <f t="shared" si="24"/>
        <v>BXX Disch. Flow Sig Error Alarm Dis Reason</v>
      </c>
    </row>
    <row r="55" spans="1:16" x14ac:dyDescent="0.25">
      <c r="A55" t="s">
        <v>560</v>
      </c>
      <c r="B55" t="s">
        <v>16</v>
      </c>
      <c r="C55" t="s">
        <v>17</v>
      </c>
      <c r="D55" s="2">
        <f t="shared" si="11"/>
        <v>7</v>
      </c>
      <c r="E55" t="s">
        <v>18</v>
      </c>
      <c r="F55" t="s">
        <v>19</v>
      </c>
      <c r="G55" t="s">
        <v>40</v>
      </c>
      <c r="H55" t="s">
        <v>53</v>
      </c>
    </row>
    <row r="56" spans="1:16" x14ac:dyDescent="0.25">
      <c r="A56" t="s">
        <v>458</v>
      </c>
      <c r="B56" t="s">
        <v>127</v>
      </c>
      <c r="C56" t="s">
        <v>132</v>
      </c>
      <c r="D56" s="2">
        <f t="shared" si="11"/>
        <v>44</v>
      </c>
      <c r="E56" t="s">
        <v>14</v>
      </c>
      <c r="F56">
        <v>0</v>
      </c>
      <c r="G56" t="s">
        <v>14</v>
      </c>
    </row>
    <row r="57" spans="1:16" x14ac:dyDescent="0.25">
      <c r="A57" t="s">
        <v>459</v>
      </c>
      <c r="B57" t="s">
        <v>127</v>
      </c>
      <c r="C57" t="s">
        <v>133</v>
      </c>
      <c r="D57" s="2">
        <f t="shared" si="11"/>
        <v>41</v>
      </c>
      <c r="E57" t="s">
        <v>14</v>
      </c>
      <c r="F57">
        <v>0</v>
      </c>
      <c r="G57" t="s">
        <v>14</v>
      </c>
    </row>
    <row r="58" spans="1:16" x14ac:dyDescent="0.25">
      <c r="A58" t="s">
        <v>460</v>
      </c>
      <c r="B58" t="s">
        <v>127</v>
      </c>
      <c r="C58" t="s">
        <v>134</v>
      </c>
      <c r="D58" s="2">
        <f t="shared" si="11"/>
        <v>39</v>
      </c>
      <c r="E58" t="s">
        <v>14</v>
      </c>
      <c r="F58">
        <v>0</v>
      </c>
      <c r="G58" t="s">
        <v>14</v>
      </c>
    </row>
    <row r="59" spans="1:16" x14ac:dyDescent="0.25">
      <c r="A59" t="s">
        <v>461</v>
      </c>
      <c r="B59" t="s">
        <v>127</v>
      </c>
      <c r="C59" t="s">
        <v>135</v>
      </c>
      <c r="D59" s="2">
        <f t="shared" si="11"/>
        <v>39</v>
      </c>
      <c r="E59" t="s">
        <v>14</v>
      </c>
      <c r="F59">
        <v>0</v>
      </c>
      <c r="G59" t="s">
        <v>14</v>
      </c>
    </row>
    <row r="60" spans="1:16" x14ac:dyDescent="0.25">
      <c r="A60" t="s">
        <v>462</v>
      </c>
      <c r="B60" t="s">
        <v>127</v>
      </c>
      <c r="C60" t="s">
        <v>136</v>
      </c>
      <c r="D60" s="2">
        <f t="shared" si="11"/>
        <v>41</v>
      </c>
      <c r="E60" t="s">
        <v>14</v>
      </c>
      <c r="F60">
        <v>0</v>
      </c>
      <c r="G60" t="s">
        <v>14</v>
      </c>
    </row>
    <row r="61" spans="1:16" x14ac:dyDescent="0.25">
      <c r="A61" t="s">
        <v>463</v>
      </c>
      <c r="B61" t="s">
        <v>127</v>
      </c>
      <c r="C61" t="s">
        <v>137</v>
      </c>
      <c r="D61" s="2">
        <f t="shared" si="11"/>
        <v>49</v>
      </c>
      <c r="E61" t="s">
        <v>14</v>
      </c>
      <c r="F61">
        <v>0</v>
      </c>
      <c r="G61" t="s">
        <v>14</v>
      </c>
    </row>
    <row r="62" spans="1:16" x14ac:dyDescent="0.25">
      <c r="A62" t="s">
        <v>464</v>
      </c>
      <c r="B62" t="s">
        <v>127</v>
      </c>
      <c r="C62" t="s">
        <v>138</v>
      </c>
      <c r="D62" s="2">
        <f t="shared" si="11"/>
        <v>35</v>
      </c>
      <c r="E62" t="s">
        <v>14</v>
      </c>
      <c r="F62">
        <v>0</v>
      </c>
      <c r="G62" t="s">
        <v>14</v>
      </c>
    </row>
    <row r="63" spans="1:16" x14ac:dyDescent="0.25">
      <c r="A63" t="s">
        <v>465</v>
      </c>
      <c r="B63" t="s">
        <v>127</v>
      </c>
      <c r="C63" t="s">
        <v>139</v>
      </c>
      <c r="D63" s="2">
        <f t="shared" si="11"/>
        <v>39</v>
      </c>
      <c r="E63" t="s">
        <v>14</v>
      </c>
      <c r="F63">
        <v>0</v>
      </c>
      <c r="G63" t="s">
        <v>14</v>
      </c>
    </row>
    <row r="64" spans="1:16" x14ac:dyDescent="0.25">
      <c r="A64" t="s">
        <v>487</v>
      </c>
      <c r="B64" t="s">
        <v>127</v>
      </c>
      <c r="C64" t="s">
        <v>140</v>
      </c>
      <c r="D64" s="2">
        <f t="shared" si="11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426</v>
      </c>
      <c r="B65" t="s">
        <v>127</v>
      </c>
      <c r="C65" t="s">
        <v>141</v>
      </c>
      <c r="D65" s="2">
        <f t="shared" si="11"/>
        <v>31</v>
      </c>
      <c r="E65" t="s">
        <v>14</v>
      </c>
      <c r="F65">
        <v>0</v>
      </c>
      <c r="G65" t="s">
        <v>14</v>
      </c>
    </row>
    <row r="66" spans="1:8" x14ac:dyDescent="0.25">
      <c r="A66" t="s">
        <v>466</v>
      </c>
      <c r="B66" t="s">
        <v>127</v>
      </c>
      <c r="C66" t="s">
        <v>142</v>
      </c>
      <c r="D66" s="2">
        <f t="shared" si="11"/>
        <v>41</v>
      </c>
      <c r="E66" t="s">
        <v>14</v>
      </c>
      <c r="F66">
        <v>0</v>
      </c>
      <c r="G66" t="s">
        <v>14</v>
      </c>
    </row>
    <row r="67" spans="1:8" x14ac:dyDescent="0.25">
      <c r="A67" t="s">
        <v>467</v>
      </c>
      <c r="B67" t="s">
        <v>127</v>
      </c>
      <c r="C67" t="s">
        <v>143</v>
      </c>
      <c r="D67" s="2">
        <f t="shared" si="11"/>
        <v>47</v>
      </c>
      <c r="E67" t="s">
        <v>14</v>
      </c>
      <c r="F67">
        <v>0</v>
      </c>
      <c r="G67" t="s">
        <v>14</v>
      </c>
    </row>
    <row r="68" spans="1:8" x14ac:dyDescent="0.25">
      <c r="A68" t="s">
        <v>468</v>
      </c>
      <c r="B68" t="s">
        <v>127</v>
      </c>
      <c r="C68" t="s">
        <v>144</v>
      </c>
      <c r="D68" s="2">
        <f t="shared" si="11"/>
        <v>30</v>
      </c>
      <c r="E68" t="s">
        <v>14</v>
      </c>
      <c r="F68">
        <v>0</v>
      </c>
      <c r="G68" t="s">
        <v>14</v>
      </c>
    </row>
    <row r="69" spans="1:8" x14ac:dyDescent="0.25">
      <c r="A69" t="s">
        <v>145</v>
      </c>
      <c r="B69" t="s">
        <v>16</v>
      </c>
      <c r="C69" t="s">
        <v>17</v>
      </c>
      <c r="D69" s="2">
        <f t="shared" si="11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493</v>
      </c>
      <c r="B70" t="s">
        <v>127</v>
      </c>
      <c r="C70" t="s">
        <v>146</v>
      </c>
      <c r="D70" s="2">
        <f t="shared" si="11"/>
        <v>49</v>
      </c>
      <c r="E70" t="s">
        <v>14</v>
      </c>
      <c r="F70">
        <v>0</v>
      </c>
      <c r="G70" t="s">
        <v>14</v>
      </c>
    </row>
    <row r="71" spans="1:8" x14ac:dyDescent="0.25">
      <c r="A71" t="s">
        <v>494</v>
      </c>
      <c r="B71" t="s">
        <v>127</v>
      </c>
      <c r="C71" t="s">
        <v>147</v>
      </c>
      <c r="D71" s="2">
        <f t="shared" si="11"/>
        <v>41</v>
      </c>
      <c r="E71" t="s">
        <v>14</v>
      </c>
      <c r="F71">
        <v>0</v>
      </c>
      <c r="G71" t="s">
        <v>14</v>
      </c>
    </row>
    <row r="72" spans="1:8" x14ac:dyDescent="0.25">
      <c r="A72" t="s">
        <v>499</v>
      </c>
      <c r="B72" t="s">
        <v>127</v>
      </c>
      <c r="C72" t="s">
        <v>148</v>
      </c>
      <c r="D72" s="2">
        <f t="shared" si="11"/>
        <v>37</v>
      </c>
      <c r="E72" t="s">
        <v>14</v>
      </c>
      <c r="F72">
        <v>0</v>
      </c>
      <c r="G72" t="s">
        <v>14</v>
      </c>
    </row>
    <row r="73" spans="1:8" x14ac:dyDescent="0.25">
      <c r="A73" t="s">
        <v>495</v>
      </c>
      <c r="B73" t="s">
        <v>127</v>
      </c>
      <c r="C73" t="s">
        <v>149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496</v>
      </c>
      <c r="B74" t="s">
        <v>127</v>
      </c>
      <c r="C74" t="s">
        <v>150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497</v>
      </c>
      <c r="B75" t="s">
        <v>127</v>
      </c>
      <c r="C75" t="s">
        <v>151</v>
      </c>
      <c r="D75" s="2">
        <f t="shared" si="11"/>
        <v>28</v>
      </c>
      <c r="E75" t="s">
        <v>14</v>
      </c>
      <c r="F75">
        <v>0</v>
      </c>
      <c r="G75" t="s">
        <v>14</v>
      </c>
    </row>
    <row r="76" spans="1:8" x14ac:dyDescent="0.25">
      <c r="A76" t="s">
        <v>498</v>
      </c>
      <c r="B76" t="s">
        <v>127</v>
      </c>
      <c r="C76" t="s">
        <v>152</v>
      </c>
      <c r="D76" s="2">
        <f t="shared" si="11"/>
        <v>26</v>
      </c>
      <c r="E76" t="s">
        <v>14</v>
      </c>
      <c r="F76">
        <v>0</v>
      </c>
      <c r="G76" t="s">
        <v>14</v>
      </c>
    </row>
    <row r="77" spans="1:8" x14ac:dyDescent="0.25">
      <c r="A77" t="s">
        <v>595</v>
      </c>
      <c r="B77" t="s">
        <v>127</v>
      </c>
      <c r="C77" t="s">
        <v>153</v>
      </c>
      <c r="D77" s="2">
        <f t="shared" si="11"/>
        <v>39</v>
      </c>
      <c r="E77" t="s">
        <v>14</v>
      </c>
      <c r="F77">
        <v>0</v>
      </c>
      <c r="G77" t="s">
        <v>14</v>
      </c>
    </row>
    <row r="78" spans="1:8" x14ac:dyDescent="0.25">
      <c r="A78" t="s">
        <v>596</v>
      </c>
      <c r="B78" t="s">
        <v>127</v>
      </c>
      <c r="C78" t="s">
        <v>154</v>
      </c>
      <c r="D78" s="2">
        <f t="shared" si="11"/>
        <v>37</v>
      </c>
      <c r="E78" t="s">
        <v>14</v>
      </c>
      <c r="F78">
        <v>0</v>
      </c>
      <c r="G78" t="s">
        <v>14</v>
      </c>
    </row>
    <row r="79" spans="1:8" x14ac:dyDescent="0.25">
      <c r="A79" t="s">
        <v>597</v>
      </c>
      <c r="B79" t="s">
        <v>127</v>
      </c>
      <c r="C79" t="s">
        <v>155</v>
      </c>
      <c r="D79" s="2">
        <f t="shared" si="11"/>
        <v>37</v>
      </c>
      <c r="E79" t="s">
        <v>14</v>
      </c>
      <c r="F79">
        <v>0</v>
      </c>
      <c r="G79" t="s">
        <v>14</v>
      </c>
    </row>
    <row r="80" spans="1:8" x14ac:dyDescent="0.25">
      <c r="A80" t="s">
        <v>598</v>
      </c>
      <c r="B80" t="s">
        <v>127</v>
      </c>
      <c r="C80" t="s">
        <v>156</v>
      </c>
      <c r="D80" s="2">
        <f t="shared" si="11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599</v>
      </c>
      <c r="B81" t="s">
        <v>127</v>
      </c>
      <c r="C81" t="s">
        <v>157</v>
      </c>
      <c r="D81" s="2">
        <f t="shared" si="11"/>
        <v>44</v>
      </c>
      <c r="E81" t="s">
        <v>14</v>
      </c>
      <c r="F81">
        <v>0</v>
      </c>
      <c r="G81" t="s">
        <v>14</v>
      </c>
    </row>
    <row r="82" spans="1:8" x14ac:dyDescent="0.25">
      <c r="A82" t="s">
        <v>600</v>
      </c>
      <c r="B82" t="s">
        <v>127</v>
      </c>
      <c r="C82" t="s">
        <v>158</v>
      </c>
      <c r="D82" s="2">
        <f t="shared" si="11"/>
        <v>44</v>
      </c>
      <c r="E82" t="s">
        <v>14</v>
      </c>
      <c r="F82">
        <v>0</v>
      </c>
      <c r="G82" t="s">
        <v>14</v>
      </c>
    </row>
    <row r="83" spans="1:8" x14ac:dyDescent="0.25">
      <c r="A83" t="s">
        <v>601</v>
      </c>
      <c r="B83" t="s">
        <v>127</v>
      </c>
      <c r="C83" t="s">
        <v>159</v>
      </c>
      <c r="D83" s="2">
        <f t="shared" si="11"/>
        <v>38</v>
      </c>
      <c r="E83" t="s">
        <v>14</v>
      </c>
      <c r="F83">
        <v>0</v>
      </c>
      <c r="G83" t="s">
        <v>14</v>
      </c>
    </row>
    <row r="84" spans="1:8" x14ac:dyDescent="0.25">
      <c r="A84" t="s">
        <v>602</v>
      </c>
      <c r="B84" t="s">
        <v>127</v>
      </c>
      <c r="C84" t="s">
        <v>160</v>
      </c>
      <c r="D84" s="2">
        <f t="shared" si="11"/>
        <v>37</v>
      </c>
      <c r="E84" t="s">
        <v>14</v>
      </c>
      <c r="F84">
        <v>0</v>
      </c>
      <c r="G84" t="s">
        <v>14</v>
      </c>
    </row>
    <row r="85" spans="1:8" x14ac:dyDescent="0.25">
      <c r="A85" t="s">
        <v>500</v>
      </c>
      <c r="B85" t="s">
        <v>127</v>
      </c>
      <c r="C85" t="s">
        <v>161</v>
      </c>
      <c r="D85" s="2">
        <f t="shared" si="11"/>
        <v>44</v>
      </c>
      <c r="E85" t="s">
        <v>14</v>
      </c>
      <c r="F85">
        <v>0</v>
      </c>
      <c r="G85" t="s">
        <v>14</v>
      </c>
    </row>
    <row r="86" spans="1:8" x14ac:dyDescent="0.25">
      <c r="A86" t="s">
        <v>162</v>
      </c>
      <c r="B86" t="s">
        <v>16</v>
      </c>
      <c r="C86" t="s">
        <v>17</v>
      </c>
      <c r="D86" s="2">
        <f t="shared" si="11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8" x14ac:dyDescent="0.25">
      <c r="A87" t="s">
        <v>163</v>
      </c>
      <c r="B87" t="s">
        <v>127</v>
      </c>
      <c r="C87" t="s">
        <v>164</v>
      </c>
      <c r="D87" s="2">
        <f t="shared" si="11"/>
        <v>38</v>
      </c>
      <c r="E87" t="s">
        <v>14</v>
      </c>
      <c r="F87">
        <v>0</v>
      </c>
      <c r="G87" t="s">
        <v>14</v>
      </c>
    </row>
    <row r="88" spans="1:8" x14ac:dyDescent="0.25">
      <c r="A88" t="s">
        <v>165</v>
      </c>
      <c r="B88" t="s">
        <v>16</v>
      </c>
      <c r="C88" t="s">
        <v>17</v>
      </c>
      <c r="D88" s="2">
        <f t="shared" si="11"/>
        <v>7</v>
      </c>
      <c r="E88" t="s">
        <v>53</v>
      </c>
    </row>
    <row r="89" spans="1:8" x14ac:dyDescent="0.25">
      <c r="A89" t="s">
        <v>166</v>
      </c>
      <c r="B89" t="s">
        <v>127</v>
      </c>
      <c r="C89" t="s">
        <v>167</v>
      </c>
      <c r="D89" s="2">
        <f t="shared" si="11"/>
        <v>29</v>
      </c>
    </row>
    <row r="90" spans="1:8" x14ac:dyDescent="0.25">
      <c r="D90" s="2">
        <f t="shared" si="11"/>
        <v>0</v>
      </c>
    </row>
  </sheetData>
  <conditionalFormatting sqref="D3:D4 D33:D46 D6:D27 D53:D90">
    <cfRule type="cellIs" dxfId="205" priority="7" operator="greaterThan">
      <formula>49</formula>
    </cfRule>
  </conditionalFormatting>
  <conditionalFormatting sqref="D30:D31">
    <cfRule type="cellIs" dxfId="204" priority="5" operator="greaterThan">
      <formula>49</formula>
    </cfRule>
  </conditionalFormatting>
  <conditionalFormatting sqref="D48:D52">
    <cfRule type="cellIs" dxfId="203" priority="3" operator="greaterThan">
      <formula>49</formula>
    </cfRule>
  </conditionalFormatting>
  <conditionalFormatting sqref="D28">
    <cfRule type="cellIs" dxfId="202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8"/>
  <sheetViews>
    <sheetView view="pageBreakPreview" topLeftCell="A31" zoomScale="80" zoomScaleNormal="100" zoomScaleSheetLayoutView="80" workbookViewId="0">
      <selection activeCell="K56" sqref="K56"/>
    </sheetView>
  </sheetViews>
  <sheetFormatPr defaultRowHeight="15" x14ac:dyDescent="0.25"/>
  <cols>
    <col min="1" max="1" width="35.28515625" customWidth="1"/>
    <col min="2" max="2" width="21" bestFit="1" customWidth="1"/>
    <col min="3" max="3" width="47.42578125" bestFit="1" customWidth="1"/>
    <col min="4" max="4" width="47.425781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4.85546875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629</v>
      </c>
      <c r="B3" s="4" t="str">
        <f>BXXPLC1!A5</f>
        <v>BXX</v>
      </c>
      <c r="C3" s="3" t="s">
        <v>265</v>
      </c>
      <c r="D3" s="2">
        <f>LEN(C3)</f>
        <v>16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38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BXX_DFT1_LI1_DI_AD</v>
      </c>
      <c r="B6" s="4" t="str">
        <f>$A$4</f>
        <v>BXX_DSAB</v>
      </c>
      <c r="C6" s="4" t="str">
        <f>$C$3 &amp; " Disabled Analog Alarm"</f>
        <v>BXX Diesel Level Disabled Analog Alarm</v>
      </c>
      <c r="D6" s="2">
        <f>LEN(C6)</f>
        <v>38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BXX_DFT1_LI1.DI_AD</v>
      </c>
      <c r="R6" t="s">
        <v>14</v>
      </c>
      <c r="S6" s="4" t="str">
        <f>C6</f>
        <v>BXX Diesel Level Disabled Analog Alarm</v>
      </c>
      <c r="T6">
        <v>0</v>
      </c>
      <c r="U6">
        <v>0</v>
      </c>
    </row>
    <row r="7" spans="1:23" x14ac:dyDescent="0.25">
      <c r="A7" s="4" t="str">
        <f>$A$3&amp;"_DI_SC"</f>
        <v>BXX_DFT1_LI1_DI_SC</v>
      </c>
      <c r="B7" s="4" t="str">
        <f>$A$3</f>
        <v>BXX_DFT1_LI1</v>
      </c>
      <c r="C7" s="4" t="str">
        <f>$C$3 &amp; " Scan Status"</f>
        <v>BXX Diesel Level Scan Status</v>
      </c>
      <c r="D7" s="2">
        <f t="shared" ref="D7:D28" si="0">LEN(C7)</f>
        <v>28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BXX_DFT1_LI1.DI_SC</v>
      </c>
      <c r="R7" t="s">
        <v>14</v>
      </c>
      <c r="S7" s="4" t="str">
        <f t="shared" ref="S7:S28" si="1">C7</f>
        <v>BXX Diesel Level Scan Status</v>
      </c>
      <c r="T7">
        <v>0</v>
      </c>
      <c r="U7">
        <v>0</v>
      </c>
    </row>
    <row r="8" spans="1:23" x14ac:dyDescent="0.25">
      <c r="A8" s="4" t="str">
        <f>$A$3&amp;"_DA_LL"</f>
        <v>BXX_DFT1_LI1_DA_LL</v>
      </c>
      <c r="B8" s="4" t="str">
        <f t="shared" ref="B8:B28" si="2">$A$3</f>
        <v>BXX_DFT1_LI1</v>
      </c>
      <c r="C8" s="4" t="str">
        <f>$C$3 &amp; " LOLO Alarm"</f>
        <v>BXX Diesel Level LOLO Alarm</v>
      </c>
      <c r="D8" s="2">
        <f t="shared" si="0"/>
        <v>27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BXX_DFT1_LI1.DA_LL</v>
      </c>
      <c r="R8" t="s">
        <v>14</v>
      </c>
      <c r="S8" s="4" t="str">
        <f t="shared" si="1"/>
        <v>BXX Diesel Level LOLO Alarm</v>
      </c>
      <c r="T8">
        <v>0</v>
      </c>
      <c r="U8">
        <v>0</v>
      </c>
    </row>
    <row r="9" spans="1:23" x14ac:dyDescent="0.25">
      <c r="A9" s="4" t="str">
        <f>$A$3&amp;"_DA_ER"</f>
        <v>BXX_DFT1_LI1_DA_ER</v>
      </c>
      <c r="B9" s="4" t="str">
        <f t="shared" si="2"/>
        <v>BXX_DFT1_LI1</v>
      </c>
      <c r="C9" s="4" t="str">
        <f>$C$3 &amp; " Signal Error Alarm"</f>
        <v>BXX Diesel Level Signal Error Alarm</v>
      </c>
      <c r="D9" s="2">
        <f t="shared" si="0"/>
        <v>35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BXX_DFT1_LI1.DA_ER</v>
      </c>
      <c r="R9" t="s">
        <v>14</v>
      </c>
      <c r="S9" s="4" t="str">
        <f t="shared" si="1"/>
        <v>BXX Diesel Level Signal Error Alarm</v>
      </c>
      <c r="T9">
        <v>0</v>
      </c>
      <c r="U9">
        <v>0</v>
      </c>
    </row>
    <row r="10" spans="1:23" x14ac:dyDescent="0.25">
      <c r="A10" s="4" t="str">
        <f>$A$3&amp;"_PB_SM"</f>
        <v>BXX_DFT1_LI1_PB_SM</v>
      </c>
      <c r="B10" s="4" t="str">
        <f t="shared" si="2"/>
        <v>BXX_DFT1_LI1</v>
      </c>
      <c r="C10" s="4" t="str">
        <f>$C$3 &amp; " Alarm Test"</f>
        <v>BXX Diesel Level Alarm Test</v>
      </c>
      <c r="D10" s="2">
        <f t="shared" si="0"/>
        <v>27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BXX_DFT1_LI1.PB_SM</v>
      </c>
      <c r="R10" t="s">
        <v>14</v>
      </c>
      <c r="S10" s="4" t="str">
        <f t="shared" si="1"/>
        <v>BXX Diesel Level Alarm Test</v>
      </c>
      <c r="T10">
        <v>0</v>
      </c>
      <c r="U10">
        <v>0</v>
      </c>
    </row>
    <row r="11" spans="1:23" x14ac:dyDescent="0.25">
      <c r="A11" s="4" t="str">
        <f>$A$3&amp;"_PB_SV"</f>
        <v>BXX_DFT1_LI1_PB_SV</v>
      </c>
      <c r="B11" s="4" t="str">
        <f t="shared" si="2"/>
        <v>BXX_DFT1_LI1</v>
      </c>
      <c r="C11" s="4" t="str">
        <f>$C$3 &amp; " Override Enable"</f>
        <v>BXX Diesel Level Override Enable</v>
      </c>
      <c r="D11" s="2">
        <f t="shared" si="0"/>
        <v>32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BXX_DFT1_LI1.PB_SV</v>
      </c>
      <c r="R11" t="s">
        <v>14</v>
      </c>
      <c r="S11" s="4" t="str">
        <f t="shared" si="1"/>
        <v>BXX Diesel Level Override Enable</v>
      </c>
      <c r="T11">
        <v>0</v>
      </c>
      <c r="U11">
        <v>0</v>
      </c>
    </row>
    <row r="12" spans="1:23" x14ac:dyDescent="0.25">
      <c r="A12" s="4" t="str">
        <f>$A$3&amp;"_PB_AE"</f>
        <v>BXX_DFT1_LI1_PB_AE</v>
      </c>
      <c r="B12" s="4" t="str">
        <f t="shared" si="2"/>
        <v>BXX_DFT1_LI1</v>
      </c>
      <c r="C12" s="4" t="str">
        <f>$C$3 &amp; " Alarm Enable"</f>
        <v>BXX Diesel Level Alarm Enable</v>
      </c>
      <c r="D12" s="2">
        <f t="shared" si="0"/>
        <v>29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BXX_DFT1_LI1.PB_AE.RE</v>
      </c>
      <c r="R12" t="s">
        <v>14</v>
      </c>
      <c r="S12" s="4" t="str">
        <f t="shared" si="1"/>
        <v>BXX Diesel Level Alarm Enable</v>
      </c>
      <c r="T12">
        <v>0</v>
      </c>
      <c r="U12">
        <v>0</v>
      </c>
    </row>
    <row r="13" spans="1:23" x14ac:dyDescent="0.25">
      <c r="A13" s="4" t="str">
        <f>$A$3&amp;"_PB_HI"</f>
        <v>BXX_DFT1_LI1_PB_HI</v>
      </c>
      <c r="B13" s="4" t="str">
        <f t="shared" si="2"/>
        <v>BXX_DFT1_LI1</v>
      </c>
      <c r="C13" s="4" t="str">
        <f>$C$3 &amp; " High Alarm Enable"</f>
        <v>BXX Diesel Level High Alarm Enable</v>
      </c>
      <c r="D13" s="2">
        <f t="shared" si="0"/>
        <v>34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BXX_DFT1_LI1.PB_HI.RE</v>
      </c>
      <c r="R13" t="s">
        <v>14</v>
      </c>
      <c r="S13" s="4" t="str">
        <f t="shared" si="1"/>
        <v>BXX Diesel Level High Alarm Enable</v>
      </c>
      <c r="T13">
        <v>0</v>
      </c>
      <c r="U13">
        <v>0</v>
      </c>
    </row>
    <row r="14" spans="1:23" x14ac:dyDescent="0.25">
      <c r="A14" s="4" t="str">
        <f>$A$3&amp;"_PB_LO"</f>
        <v>BXX_DFT1_LI1_PB_LO</v>
      </c>
      <c r="B14" s="4" t="str">
        <f t="shared" si="2"/>
        <v>BXX_DFT1_LI1</v>
      </c>
      <c r="C14" s="4" t="str">
        <f>$C$3 &amp; " Low Alarm Enable"</f>
        <v>BXX Diesel Level Low Alarm Enable</v>
      </c>
      <c r="D14" s="2">
        <f t="shared" si="0"/>
        <v>33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BXX_DFT1_LI1.PB_LO.RE</v>
      </c>
      <c r="R14" t="s">
        <v>14</v>
      </c>
      <c r="S14" s="4" t="str">
        <f t="shared" si="1"/>
        <v>BXX Diesel Level Low Alarm Enable</v>
      </c>
      <c r="T14">
        <v>0</v>
      </c>
      <c r="U14">
        <v>0</v>
      </c>
    </row>
    <row r="15" spans="1:23" x14ac:dyDescent="0.25">
      <c r="A15" s="4" t="str">
        <f>$A$3&amp;"_PB_LL"</f>
        <v>BXX_DFT1_LI1_PB_LL</v>
      </c>
      <c r="B15" s="4" t="str">
        <f t="shared" si="2"/>
        <v>BXX_DFT1_LI1</v>
      </c>
      <c r="C15" s="4" t="str">
        <f>$C$3 &amp; " LOLO Alarm Enable"</f>
        <v>BXX Diesel Level LOLO Alarm Enable</v>
      </c>
      <c r="D15" s="2">
        <f t="shared" si="0"/>
        <v>34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BXX_DFT1_LI1.PB_LL.RE</v>
      </c>
      <c r="R15" t="s">
        <v>14</v>
      </c>
      <c r="S15" s="4" t="str">
        <f t="shared" si="1"/>
        <v>BXX Diesel Level LOLO Alarm Enable</v>
      </c>
      <c r="T15">
        <v>0</v>
      </c>
      <c r="U15">
        <v>0</v>
      </c>
    </row>
    <row r="16" spans="1:23" x14ac:dyDescent="0.25">
      <c r="A16" s="4" t="str">
        <f>$A$3&amp;"_PB_ER"</f>
        <v>BXX_DFT1_LI1_PB_ER</v>
      </c>
      <c r="B16" s="4" t="str">
        <f t="shared" si="2"/>
        <v>BXX_DFT1_LI1</v>
      </c>
      <c r="C16" s="4" t="str">
        <f>$C$3 &amp; " Signal Error Alarm En"</f>
        <v>BXX Diesel Level Signal Error Alarm En</v>
      </c>
      <c r="D16" s="2">
        <f t="shared" si="0"/>
        <v>38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BXX_DFT1_LI1.PB_ER.RE</v>
      </c>
      <c r="R16" t="s">
        <v>14</v>
      </c>
      <c r="S16" s="4" t="str">
        <f t="shared" si="1"/>
        <v>BXX Diesel Level Signal Error Alarm En</v>
      </c>
      <c r="T16">
        <v>0</v>
      </c>
      <c r="U16">
        <v>0</v>
      </c>
    </row>
    <row r="17" spans="1:64" x14ac:dyDescent="0.25">
      <c r="A17" s="4" t="str">
        <f>$A$3&amp;"_PB_SC"</f>
        <v>BXX_DFT1_LI1_PB_SC</v>
      </c>
      <c r="B17" s="4" t="str">
        <f t="shared" si="2"/>
        <v>BXX_DFT1_LI1</v>
      </c>
      <c r="C17" s="4" t="str">
        <f>$C$3 &amp; " Scan Enable"</f>
        <v>BXX Diesel Level Scan Enable</v>
      </c>
      <c r="D17" s="2">
        <f t="shared" si="0"/>
        <v>28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BXX_DFT1_LI1.PB_SC</v>
      </c>
      <c r="R17" t="s">
        <v>14</v>
      </c>
      <c r="S17" s="4" t="str">
        <f t="shared" si="1"/>
        <v>BXX Diesel Level Scan Enable</v>
      </c>
      <c r="T17">
        <v>0</v>
      </c>
      <c r="U17">
        <v>0</v>
      </c>
    </row>
    <row r="18" spans="1:64" x14ac:dyDescent="0.25">
      <c r="A18" s="4" t="str">
        <f>$A$3&amp;"_DA_HH"</f>
        <v>BXX_DFT1_LI1_DA_HH</v>
      </c>
      <c r="B18" s="4" t="str">
        <f t="shared" si="2"/>
        <v>BXX_DFT1_LI1</v>
      </c>
      <c r="C18" s="4" t="str">
        <f>$C$3 &amp; " HIHI Alarm"</f>
        <v>BXX Diesel Level HIHI Alarm</v>
      </c>
      <c r="D18" s="2">
        <f t="shared" si="0"/>
        <v>27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7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BXX_DFT1_LI1.DA_HH</v>
      </c>
      <c r="R18" t="s">
        <v>14</v>
      </c>
      <c r="S18" s="4" t="str">
        <f t="shared" si="1"/>
        <v>BXX Diesel Level HIHI Alarm</v>
      </c>
      <c r="T18">
        <v>0</v>
      </c>
      <c r="U18">
        <v>0</v>
      </c>
    </row>
    <row r="19" spans="1:64" x14ac:dyDescent="0.25">
      <c r="A19" s="4" t="str">
        <f>$A$3&amp;"_DA_HI"</f>
        <v>BXX_DFT1_LI1_DA_HI</v>
      </c>
      <c r="B19" s="4" t="str">
        <f t="shared" si="2"/>
        <v>BXX_DFT1_LI1</v>
      </c>
      <c r="C19" s="4" t="str">
        <f>$C$3 &amp; " HI Alarm"</f>
        <v>BXX Diesel Level HI Alarm</v>
      </c>
      <c r="D19" s="2">
        <f t="shared" si="0"/>
        <v>25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7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BXX_DFT1_LI1.DA_HI</v>
      </c>
      <c r="R19" t="s">
        <v>14</v>
      </c>
      <c r="S19" s="4" t="str">
        <f t="shared" si="1"/>
        <v>BXX Diesel Level HI Alarm</v>
      </c>
      <c r="T19">
        <v>0</v>
      </c>
      <c r="U19">
        <v>0</v>
      </c>
    </row>
    <row r="20" spans="1:64" x14ac:dyDescent="0.25">
      <c r="A20" s="4" t="str">
        <f>$A$3&amp;"_PB_HH"</f>
        <v>BXX_DFT1_LI1_PB_HH</v>
      </c>
      <c r="B20" s="4" t="str">
        <f t="shared" si="2"/>
        <v>BXX_DFT1_LI1</v>
      </c>
      <c r="C20" s="4" t="str">
        <f>$C$3 &amp; " HIHI Alarm Enable"</f>
        <v>BXX Diesel Level HIHI Alarm Enable</v>
      </c>
      <c r="D20" s="2">
        <f t="shared" si="0"/>
        <v>34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BXX_DFT1_LI1.PB_HH.RE</v>
      </c>
      <c r="R20" t="s">
        <v>14</v>
      </c>
      <c r="S20" s="4" t="str">
        <f t="shared" si="1"/>
        <v>BXX Diesel Level HIHI Alarm Enable</v>
      </c>
      <c r="T20">
        <v>0</v>
      </c>
      <c r="U20">
        <v>0</v>
      </c>
    </row>
    <row r="21" spans="1:64" x14ac:dyDescent="0.25">
      <c r="A21" s="4" t="str">
        <f>$A$3&amp;"_PB_AR"</f>
        <v>BXX_DFT1_LI1_PB_AR</v>
      </c>
      <c r="B21" s="4" t="str">
        <f t="shared" si="2"/>
        <v>BXX_DFT1_LI1</v>
      </c>
      <c r="C21" s="4" t="str">
        <f>$C$3 &amp; " Alarm Reset"</f>
        <v>BXX Diesel Level Alarm Reset</v>
      </c>
      <c r="D21" s="2">
        <f t="shared" si="0"/>
        <v>28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BXX_DFT1_LI1.PB_AR</v>
      </c>
      <c r="R21" t="s">
        <v>14</v>
      </c>
      <c r="S21" s="4" t="str">
        <f t="shared" si="1"/>
        <v>BXX Diesel Level Alarm Reset</v>
      </c>
      <c r="T21">
        <v>0</v>
      </c>
      <c r="U21">
        <v>0</v>
      </c>
    </row>
    <row r="22" spans="1:64" x14ac:dyDescent="0.25">
      <c r="A22" s="4" t="str">
        <f>$A$3&amp;"_DA_LO"</f>
        <v>BXX_DFT1_LI1_DA_LO</v>
      </c>
      <c r="B22" s="4" t="str">
        <f t="shared" si="2"/>
        <v>BXX_DFT1_LI1</v>
      </c>
      <c r="C22" s="4" t="str">
        <f>$C$3 &amp; " LO Alarm"</f>
        <v>BXX Diesel Level LO Alarm</v>
      </c>
      <c r="D22" s="2">
        <f t="shared" si="0"/>
        <v>25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BXX_DFT1_LI1.DA_LO</v>
      </c>
      <c r="R22" t="s">
        <v>14</v>
      </c>
      <c r="S22" s="4" t="str">
        <f t="shared" si="1"/>
        <v>BXX Diesel Level LO Alarm</v>
      </c>
      <c r="T22">
        <v>0</v>
      </c>
      <c r="U22">
        <v>0</v>
      </c>
    </row>
    <row r="23" spans="1:64" x14ac:dyDescent="0.25">
      <c r="A23" s="4" t="str">
        <f>$A$3&amp;"_PB_LL_DE"</f>
        <v>BXX_DFT1_LI1_PB_LL_DE</v>
      </c>
      <c r="B23" s="4" t="str">
        <f t="shared" si="2"/>
        <v>BXX_DFT1_LI1</v>
      </c>
      <c r="C23" s="4" t="str">
        <f>$C$3 &amp; " LOLO Alarm Dialer Enable"</f>
        <v>BXX Diesel Level LOLO Alarm Dialer Enable</v>
      </c>
      <c r="D23" s="2">
        <f t="shared" si="0"/>
        <v>41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BXX_DFT1_LI1.PB_LL.DE</v>
      </c>
      <c r="R23" t="s">
        <v>14</v>
      </c>
      <c r="S23" s="4" t="str">
        <f t="shared" si="1"/>
        <v>BXX Diesel Level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BXX_DFT1_LI1_PB_ER_DE</v>
      </c>
      <c r="B24" s="4" t="str">
        <f t="shared" si="2"/>
        <v>BXX_DFT1_LI1</v>
      </c>
      <c r="C24" s="4" t="str">
        <f>$C$3 &amp; " Signal Error Alarm Dialer En"</f>
        <v>BXX Diesel Level Signal Error Alarm Dialer En</v>
      </c>
      <c r="D24" s="2">
        <f t="shared" si="0"/>
        <v>45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BXX_DFT1_LI1.PB_ER.DE</v>
      </c>
      <c r="R24" t="s">
        <v>14</v>
      </c>
      <c r="S24" s="4" t="str">
        <f t="shared" si="1"/>
        <v>BXX Diesel Level Signal Error Alarm Dialer En</v>
      </c>
      <c r="T24">
        <v>0</v>
      </c>
      <c r="U24">
        <v>0</v>
      </c>
    </row>
    <row r="25" spans="1:64" x14ac:dyDescent="0.25">
      <c r="A25" s="4" t="str">
        <f>$A$3&amp;"_PB_HH_DE"</f>
        <v>BXX_DFT1_LI1_PB_HH_DE</v>
      </c>
      <c r="B25" s="4" t="str">
        <f t="shared" si="2"/>
        <v>BXX_DFT1_LI1</v>
      </c>
      <c r="C25" s="4" t="str">
        <f>$C$3 &amp; " HIHI Alarm Dialer Enable"</f>
        <v>BXX Diesel Level HIHI Alarm Dialer Enable</v>
      </c>
      <c r="D25" s="2">
        <f t="shared" si="0"/>
        <v>41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BXX_DFT1_LI1.PB_HH.DE</v>
      </c>
      <c r="R25" t="s">
        <v>14</v>
      </c>
      <c r="S25" s="4" t="str">
        <f t="shared" si="1"/>
        <v>BXX Diesel Level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BXX_DFT1_LI1_PB_LL_SR</v>
      </c>
      <c r="B26" s="4" t="str">
        <f t="shared" si="2"/>
        <v>BXX_DFT1_LI1</v>
      </c>
      <c r="C26" s="4" t="str">
        <f>$C$3 &amp; " LOLO Alarm Sup Enable"</f>
        <v>BXX Diesel Level LOLO Alarm Sup Enable</v>
      </c>
      <c r="D26" s="2">
        <f t="shared" si="0"/>
        <v>38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BXX_DFT1_LI1.PB_LL.SR</v>
      </c>
      <c r="R26" t="s">
        <v>14</v>
      </c>
      <c r="S26" s="4" t="str">
        <f t="shared" si="1"/>
        <v>BXX Diesel Level LOLO Alarm Sup Enable</v>
      </c>
      <c r="T26">
        <v>0</v>
      </c>
      <c r="U26">
        <v>0</v>
      </c>
    </row>
    <row r="27" spans="1:64" x14ac:dyDescent="0.25">
      <c r="A27" s="4" t="str">
        <f>$A$3&amp;"_PB_ER_SR"</f>
        <v>BXX_DFT1_LI1_PB_ER_SR</v>
      </c>
      <c r="B27" s="4" t="str">
        <f t="shared" si="2"/>
        <v>BXX_DFT1_LI1</v>
      </c>
      <c r="C27" s="4" t="str">
        <f>$C$3 &amp; " Signal Error Alarm Sup En"</f>
        <v>BXX Diesel Level Signal Error Alarm Sup En</v>
      </c>
      <c r="D27" s="2">
        <f t="shared" si="0"/>
        <v>42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BXX_DFT1_LI1.PB_ER.SR</v>
      </c>
      <c r="R27" t="s">
        <v>14</v>
      </c>
      <c r="S27" s="4" t="str">
        <f t="shared" si="1"/>
        <v>BXX Diesel Level Signal Error Alarm Sup En</v>
      </c>
      <c r="T27">
        <v>0</v>
      </c>
      <c r="U27">
        <v>0</v>
      </c>
    </row>
    <row r="28" spans="1:64" x14ac:dyDescent="0.25">
      <c r="A28" s="4" t="str">
        <f>$A$3&amp;"_PB_HH_SR"</f>
        <v>BXX_DFT1_LI1_PB_HH_SR</v>
      </c>
      <c r="B28" s="4" t="str">
        <f t="shared" si="2"/>
        <v>BXX_DFT1_LI1</v>
      </c>
      <c r="C28" s="4" t="str">
        <f>$C$3 &amp; " HIHI Alarm Sup Enable"</f>
        <v>BXX Diesel Level HIHI Alarm Sup Enable</v>
      </c>
      <c r="D28" s="2">
        <f t="shared" si="0"/>
        <v>38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BXX_DFT1_LI1.PB_HH.SR</v>
      </c>
      <c r="R28" t="s">
        <v>14</v>
      </c>
      <c r="S28" s="4" t="str">
        <f t="shared" si="1"/>
        <v>BXX Diesel Level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BXX_DFT1_LI1_AI_VI</v>
      </c>
      <c r="B30" s="4" t="str">
        <f t="shared" ref="B30:B31" si="4">$A$3</f>
        <v>BXX_DFT1_LI1</v>
      </c>
      <c r="C30" s="4" t="str">
        <f>$C$3 &amp; " Number of Visible Eng Values"</f>
        <v>BXX Diesel Level Number of Visible Eng Values</v>
      </c>
      <c r="D30" s="2">
        <f t="shared" ref="D30:D31" si="5">LEN(C30)</f>
        <v>45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BXX_DFT1_LI1.AI_VI</v>
      </c>
      <c r="AU30" t="s">
        <v>14</v>
      </c>
      <c r="AV30" s="4" t="str">
        <f>C30</f>
        <v>BXX Diesel Level Number of Visible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BXX_DFT1_LI1_AI_DC</v>
      </c>
      <c r="B31" s="4" t="str">
        <f t="shared" si="4"/>
        <v>BXX_DFT1_LI1</v>
      </c>
      <c r="C31" s="4" t="str">
        <f>$C$3 &amp; " Precision"</f>
        <v>BXX Diesel Level Precision</v>
      </c>
      <c r="D31" s="2">
        <f t="shared" si="5"/>
        <v>26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1" si="7">N31</f>
        <v>0</v>
      </c>
      <c r="AP31" s="4">
        <f t="shared" si="7"/>
        <v>3</v>
      </c>
      <c r="AQ31" t="s">
        <v>108</v>
      </c>
      <c r="AR31" s="4" t="str">
        <f t="shared" ref="AR31" si="8">$O$6</f>
        <v>BXX</v>
      </c>
      <c r="AS31" t="s">
        <v>14</v>
      </c>
      <c r="AT31" s="4" t="str">
        <f>$A$3&amp;".AI_DC"</f>
        <v>BXX_DFT1_LI1.AI_DC</v>
      </c>
      <c r="AU31" t="s">
        <v>14</v>
      </c>
      <c r="AV31" s="4" t="str">
        <f t="shared" ref="AV31" si="9">C31</f>
        <v>BXX Diesel Level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t="s">
        <v>70</v>
      </c>
      <c r="B32" t="s">
        <v>16</v>
      </c>
      <c r="C32" t="s">
        <v>17</v>
      </c>
      <c r="E32" t="s">
        <v>39</v>
      </c>
      <c r="F32" t="s">
        <v>18</v>
      </c>
      <c r="G32" t="s">
        <v>19</v>
      </c>
      <c r="H32" t="s">
        <v>40</v>
      </c>
      <c r="I32" t="s">
        <v>71</v>
      </c>
      <c r="J32" t="s">
        <v>72</v>
      </c>
      <c r="K32" t="s">
        <v>73</v>
      </c>
      <c r="L32" t="s">
        <v>74</v>
      </c>
      <c r="M32" t="s">
        <v>75</v>
      </c>
      <c r="N32" t="s">
        <v>76</v>
      </c>
      <c r="O32" t="s">
        <v>77</v>
      </c>
      <c r="P32" t="s">
        <v>78</v>
      </c>
      <c r="Q32" t="s">
        <v>79</v>
      </c>
      <c r="R32" t="s">
        <v>80</v>
      </c>
      <c r="S32" t="s">
        <v>81</v>
      </c>
      <c r="T32" t="s">
        <v>82</v>
      </c>
      <c r="U32" t="s">
        <v>83</v>
      </c>
      <c r="V32" t="s">
        <v>84</v>
      </c>
      <c r="W32" t="s">
        <v>85</v>
      </c>
      <c r="X32" t="s">
        <v>86</v>
      </c>
      <c r="Y32" t="s">
        <v>87</v>
      </c>
      <c r="Z32" t="s">
        <v>88</v>
      </c>
      <c r="AA32" t="s">
        <v>89</v>
      </c>
      <c r="AB32" t="s">
        <v>90</v>
      </c>
      <c r="AC32" t="s">
        <v>91</v>
      </c>
      <c r="AD32" t="s">
        <v>92</v>
      </c>
      <c r="AE32" t="s">
        <v>93</v>
      </c>
      <c r="AF32" t="s">
        <v>94</v>
      </c>
      <c r="AG32" t="s">
        <v>95</v>
      </c>
      <c r="AH32" t="s">
        <v>96</v>
      </c>
      <c r="AI32" t="s">
        <v>97</v>
      </c>
      <c r="AJ32" t="s">
        <v>98</v>
      </c>
      <c r="AK32" t="s">
        <v>99</v>
      </c>
      <c r="AL32" t="s">
        <v>100</v>
      </c>
      <c r="AM32" t="s">
        <v>101</v>
      </c>
      <c r="AN32" t="s">
        <v>102</v>
      </c>
      <c r="AO32" t="s">
        <v>103</v>
      </c>
      <c r="AP32" t="s">
        <v>104</v>
      </c>
      <c r="AQ32" t="s">
        <v>105</v>
      </c>
      <c r="AR32" t="s">
        <v>47</v>
      </c>
      <c r="AS32" t="s">
        <v>48</v>
      </c>
      <c r="AT32" t="s">
        <v>49</v>
      </c>
      <c r="AU32" t="s">
        <v>50</v>
      </c>
      <c r="AV32" t="s">
        <v>51</v>
      </c>
      <c r="AW32" t="s">
        <v>52</v>
      </c>
      <c r="AX32" t="s">
        <v>20</v>
      </c>
      <c r="AY32" t="s">
        <v>21</v>
      </c>
      <c r="AZ32" t="s">
        <v>22</v>
      </c>
      <c r="BA32" t="s">
        <v>23</v>
      </c>
      <c r="BB32" t="s">
        <v>24</v>
      </c>
      <c r="BC32" t="s">
        <v>25</v>
      </c>
      <c r="BD32" t="s">
        <v>26</v>
      </c>
      <c r="BE32" t="s">
        <v>28</v>
      </c>
      <c r="BF32" t="s">
        <v>29</v>
      </c>
      <c r="BG32" t="s">
        <v>30</v>
      </c>
      <c r="BH32" t="s">
        <v>31</v>
      </c>
      <c r="BI32" t="s">
        <v>32</v>
      </c>
      <c r="BJ32" t="s">
        <v>33</v>
      </c>
      <c r="BK32" t="s">
        <v>34</v>
      </c>
      <c r="BL32" t="s">
        <v>53</v>
      </c>
    </row>
    <row r="33" spans="1:56" x14ac:dyDescent="0.25">
      <c r="A33" s="4" t="str">
        <f>$A$3&amp;"_SN_LL"</f>
        <v>BXX_DFT1_LI1_SN_LL</v>
      </c>
      <c r="B33" s="4" t="str">
        <f t="shared" ref="B33:C46" si="10">$A$3</f>
        <v>BXX_DFT1_LI1</v>
      </c>
      <c r="C33" s="4" t="str">
        <f>$C$3 &amp; " LOLO Alarm Delay"</f>
        <v>BXX Diesel Level LOLO Alarm Delay</v>
      </c>
      <c r="D33" s="2">
        <f t="shared" ref="D33:D88" si="11">LEN(C33)</f>
        <v>33</v>
      </c>
      <c r="E33" t="s">
        <v>14</v>
      </c>
      <c r="F33" t="s">
        <v>13</v>
      </c>
      <c r="G33" s="5">
        <v>900</v>
      </c>
      <c r="H33" t="s">
        <v>13</v>
      </c>
      <c r="I33" t="s">
        <v>14</v>
      </c>
      <c r="J33">
        <v>0</v>
      </c>
      <c r="K33">
        <v>0</v>
      </c>
      <c r="L33" t="s">
        <v>109</v>
      </c>
      <c r="M33" s="4">
        <f>N33</f>
        <v>0</v>
      </c>
      <c r="N33">
        <v>0</v>
      </c>
      <c r="O33">
        <v>999</v>
      </c>
      <c r="P33">
        <v>0</v>
      </c>
      <c r="Q33">
        <v>0</v>
      </c>
      <c r="R33" t="s">
        <v>54</v>
      </c>
      <c r="S33">
        <v>0</v>
      </c>
      <c r="T33">
        <v>1</v>
      </c>
      <c r="U33" t="s">
        <v>54</v>
      </c>
      <c r="V33">
        <v>0</v>
      </c>
      <c r="W33">
        <v>1</v>
      </c>
      <c r="X33" t="s">
        <v>54</v>
      </c>
      <c r="Y33">
        <v>0</v>
      </c>
      <c r="Z33">
        <v>1</v>
      </c>
      <c r="AA33" t="s">
        <v>54</v>
      </c>
      <c r="AB33">
        <v>0</v>
      </c>
      <c r="AC33">
        <v>1</v>
      </c>
      <c r="AD33" t="s">
        <v>54</v>
      </c>
      <c r="AE33">
        <v>0</v>
      </c>
      <c r="AF33">
        <v>1</v>
      </c>
      <c r="AG33" t="s">
        <v>54</v>
      </c>
      <c r="AH33">
        <v>0</v>
      </c>
      <c r="AI33">
        <v>1</v>
      </c>
      <c r="AJ33">
        <v>0</v>
      </c>
      <c r="AK33" t="s">
        <v>54</v>
      </c>
      <c r="AL33">
        <v>0</v>
      </c>
      <c r="AM33">
        <v>1</v>
      </c>
      <c r="AN33" t="s">
        <v>107</v>
      </c>
      <c r="AO33" s="4">
        <f>N33</f>
        <v>0</v>
      </c>
      <c r="AP33" s="4">
        <f>O33</f>
        <v>999</v>
      </c>
      <c r="AQ33" t="s">
        <v>108</v>
      </c>
      <c r="AR33" s="4" t="str">
        <f>$O$6</f>
        <v>BXX</v>
      </c>
      <c r="AS33" t="s">
        <v>14</v>
      </c>
      <c r="AT33" s="4" t="str">
        <f>$A$3&amp;".SN_LL"</f>
        <v>BXX_DFT1_LI1.SN_LL</v>
      </c>
      <c r="AU33" t="s">
        <v>14</v>
      </c>
      <c r="AV33" s="4" t="str">
        <f>C33</f>
        <v>BXX Diesel Level LOLO Alarm Delay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25">
      <c r="A34" s="4" t="str">
        <f>$A$3&amp;"_SN_HI"</f>
        <v>BXX_DFT1_LI1_SN_HI</v>
      </c>
      <c r="B34" s="4" t="str">
        <f t="shared" si="10"/>
        <v>BXX_DFT1_LI1</v>
      </c>
      <c r="C34" s="4" t="str">
        <f>$C$3 &amp; " High Alarm Delay"</f>
        <v>BXX Diesel Level High Alarm Delay</v>
      </c>
      <c r="D34" s="2">
        <f t="shared" si="11"/>
        <v>33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 t="shared" ref="M34:M44" si="12"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 t="shared" ref="AO34:AP44" si="13">N34</f>
        <v>0</v>
      </c>
      <c r="AP34" s="4">
        <f t="shared" si="13"/>
        <v>999</v>
      </c>
      <c r="AQ34" t="s">
        <v>108</v>
      </c>
      <c r="AR34" s="4" t="str">
        <f t="shared" ref="AR34:AR44" si="14">$O$6</f>
        <v>BXX</v>
      </c>
      <c r="AS34" t="s">
        <v>14</v>
      </c>
      <c r="AT34" s="4" t="str">
        <f>$A$3&amp;".SN_HI"</f>
        <v>BXX_DFT1_LI1.SN_HI</v>
      </c>
      <c r="AU34" t="s">
        <v>14</v>
      </c>
      <c r="AV34" s="4" t="str">
        <f t="shared" ref="AV34:AV44" si="15">C34</f>
        <v>BXX Diesel Level High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56" x14ac:dyDescent="0.25">
      <c r="A35" s="4" t="str">
        <f>$A$3&amp;"_AI_CV"</f>
        <v>BXX_DFT1_LI1_AI_CV</v>
      </c>
      <c r="B35" s="4" t="str">
        <f t="shared" si="10"/>
        <v>BXX_DFT1_LI1</v>
      </c>
      <c r="C35" s="4" t="str">
        <f>$C$3 &amp; " Current Value"</f>
        <v>BXX Diesel Level Current Value</v>
      </c>
      <c r="D35" s="2">
        <f t="shared" si="11"/>
        <v>30</v>
      </c>
      <c r="E35" t="s">
        <v>13</v>
      </c>
      <c r="F35" t="s">
        <v>14</v>
      </c>
      <c r="G35">
        <v>0</v>
      </c>
      <c r="H35" t="s">
        <v>13</v>
      </c>
      <c r="I35" t="s">
        <v>14</v>
      </c>
      <c r="J35">
        <v>0</v>
      </c>
      <c r="K35">
        <v>0</v>
      </c>
      <c r="L35" s="5" t="s">
        <v>122</v>
      </c>
      <c r="M35" s="4">
        <f t="shared" si="12"/>
        <v>0</v>
      </c>
      <c r="N35" s="5">
        <v>0</v>
      </c>
      <c r="O35" s="5">
        <v>100</v>
      </c>
      <c r="P35">
        <v>0</v>
      </c>
      <c r="Q35" s="4">
        <f>(O35-N35)*0.01</f>
        <v>1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si="13"/>
        <v>0</v>
      </c>
      <c r="AP35" s="4">
        <f t="shared" si="13"/>
        <v>100</v>
      </c>
      <c r="AQ35" t="s">
        <v>108</v>
      </c>
      <c r="AR35" s="4" t="str">
        <f t="shared" si="14"/>
        <v>BXX</v>
      </c>
      <c r="AS35" t="s">
        <v>14</v>
      </c>
      <c r="AT35" s="4" t="str">
        <f>$A$3&amp;".AI_CV"</f>
        <v>BXX_DFT1_LI1.AI_CV</v>
      </c>
      <c r="AU35" t="s">
        <v>14</v>
      </c>
      <c r="AV35" s="4" t="str">
        <f t="shared" si="15"/>
        <v>BXX Diesel Level Current Value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56" x14ac:dyDescent="0.25">
      <c r="A36" s="4" t="str">
        <f>$A$3&amp;"_AO_XM"</f>
        <v>BXX_DFT1_LI1_AO_XM</v>
      </c>
      <c r="B36" s="4" t="str">
        <f t="shared" si="10"/>
        <v>BXX_DFT1_LI1</v>
      </c>
      <c r="C36" s="4" t="str">
        <f>$C$3 &amp; " Span Setpoint"</f>
        <v>BXX Diesel Level Span Setpoint</v>
      </c>
      <c r="D36" s="2">
        <f t="shared" si="11"/>
        <v>30</v>
      </c>
      <c r="E36" t="s">
        <v>14</v>
      </c>
      <c r="F36" t="s">
        <v>13</v>
      </c>
      <c r="G36">
        <v>900</v>
      </c>
      <c r="H36" t="s">
        <v>13</v>
      </c>
      <c r="I36" t="s">
        <v>14</v>
      </c>
      <c r="J36">
        <v>0</v>
      </c>
      <c r="K36">
        <v>0</v>
      </c>
      <c r="L36" s="5" t="str">
        <f t="shared" ref="L36:L41" si="16">$L$35</f>
        <v>%</v>
      </c>
      <c r="M36" s="4">
        <f t="shared" si="12"/>
        <v>0</v>
      </c>
      <c r="N36" s="5">
        <f t="shared" ref="N36:N41" si="17">$N$35</f>
        <v>0</v>
      </c>
      <c r="O36" s="5">
        <f t="shared" ref="O36:O41" si="18">$O$35</f>
        <v>100</v>
      </c>
      <c r="P36">
        <v>0</v>
      </c>
      <c r="Q36">
        <v>0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100</v>
      </c>
      <c r="AQ36" t="s">
        <v>108</v>
      </c>
      <c r="AR36" s="4" t="str">
        <f t="shared" si="14"/>
        <v>BXX</v>
      </c>
      <c r="AS36" t="s">
        <v>14</v>
      </c>
      <c r="AT36" s="4" t="str">
        <f>$A$3&amp;".AO_XM"</f>
        <v>BXX_DFT1_LI1.AO_XM</v>
      </c>
      <c r="AU36" t="s">
        <v>14</v>
      </c>
      <c r="AV36" s="4" t="str">
        <f t="shared" si="15"/>
        <v>BXX Diesel Level Span Setpoint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56" x14ac:dyDescent="0.25">
      <c r="A37" s="4" t="str">
        <f>$A$3&amp;"_AO_LO"</f>
        <v>BXX_DFT1_LI1_AO_LO</v>
      </c>
      <c r="B37" s="4" t="str">
        <f t="shared" si="10"/>
        <v>BXX_DFT1_LI1</v>
      </c>
      <c r="C37" s="4" t="str">
        <f>$C$3 &amp; " Low Setpoint"</f>
        <v>BXX Diesel Level Low Setpoint</v>
      </c>
      <c r="D37" s="2">
        <f t="shared" si="11"/>
        <v>29</v>
      </c>
      <c r="E37" t="s">
        <v>14</v>
      </c>
      <c r="F37" t="s">
        <v>13</v>
      </c>
      <c r="G37" s="5">
        <v>900</v>
      </c>
      <c r="H37" t="s">
        <v>13</v>
      </c>
      <c r="I37" t="s">
        <v>14</v>
      </c>
      <c r="J37">
        <v>0</v>
      </c>
      <c r="K37">
        <v>0</v>
      </c>
      <c r="L37" s="5" t="str">
        <f t="shared" si="16"/>
        <v>%</v>
      </c>
      <c r="M37" s="4">
        <f t="shared" si="12"/>
        <v>0</v>
      </c>
      <c r="N37" s="5">
        <f t="shared" si="17"/>
        <v>0</v>
      </c>
      <c r="O37" s="5">
        <f t="shared" si="18"/>
        <v>100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100</v>
      </c>
      <c r="AQ37" t="s">
        <v>108</v>
      </c>
      <c r="AR37" s="4" t="str">
        <f t="shared" si="14"/>
        <v>BXX</v>
      </c>
      <c r="AS37" t="s">
        <v>14</v>
      </c>
      <c r="AT37" s="4" t="str">
        <f>$A$3&amp;".AO_LO"</f>
        <v>BXX_DFT1_LI1.AO_LO</v>
      </c>
      <c r="AU37" t="s">
        <v>14</v>
      </c>
      <c r="AV37" s="4" t="str">
        <f t="shared" si="15"/>
        <v>BXX Diesel Level Low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56" x14ac:dyDescent="0.25">
      <c r="A38" s="4" t="str">
        <f>$A$3&amp;"_AO_HH"</f>
        <v>BXX_DFT1_LI1_AO_HH</v>
      </c>
      <c r="B38" s="4" t="str">
        <f t="shared" si="10"/>
        <v>BXX_DFT1_LI1</v>
      </c>
      <c r="C38" s="4" t="str">
        <f>$C$3 &amp; " HIHI Setpoint"</f>
        <v>BXX Diesel Level HIHI Setpoint</v>
      </c>
      <c r="D38" s="2">
        <f t="shared" si="11"/>
        <v>30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5" t="str">
        <f t="shared" si="16"/>
        <v>%</v>
      </c>
      <c r="M38" s="4">
        <f t="shared" si="12"/>
        <v>0</v>
      </c>
      <c r="N38" s="5">
        <f t="shared" si="17"/>
        <v>0</v>
      </c>
      <c r="O38" s="5">
        <f t="shared" si="18"/>
        <v>100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100</v>
      </c>
      <c r="AQ38" t="s">
        <v>108</v>
      </c>
      <c r="AR38" s="4" t="str">
        <f t="shared" si="14"/>
        <v>BXX</v>
      </c>
      <c r="AS38" t="s">
        <v>14</v>
      </c>
      <c r="AT38" s="4" t="str">
        <f>$A$3&amp;".AO_HH"</f>
        <v>BXX_DFT1_LI1.AO_HH</v>
      </c>
      <c r="AU38" t="s">
        <v>14</v>
      </c>
      <c r="AV38" s="4" t="str">
        <f t="shared" si="15"/>
        <v>BXX Diesel Level HIHI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56" x14ac:dyDescent="0.25">
      <c r="A39" s="4" t="str">
        <f>$A$3&amp;"_AO_HI"</f>
        <v>BXX_DFT1_LI1_AO_HI</v>
      </c>
      <c r="B39" s="4" t="str">
        <f t="shared" si="10"/>
        <v>BXX_DFT1_LI1</v>
      </c>
      <c r="C39" s="4" t="str">
        <f>$C$3 &amp; " High Setpoint"</f>
        <v>BXX Diesel Level High Setpoint</v>
      </c>
      <c r="D39" s="2">
        <f t="shared" si="11"/>
        <v>30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5" t="str">
        <f t="shared" si="16"/>
        <v>%</v>
      </c>
      <c r="M39" s="4">
        <f t="shared" si="12"/>
        <v>0</v>
      </c>
      <c r="N39" s="5">
        <f t="shared" si="17"/>
        <v>0</v>
      </c>
      <c r="O39" s="5">
        <f t="shared" si="18"/>
        <v>100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100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$A$3&amp;".AO_HI"</f>
        <v>BXX_DFT1_LI1.AO_HI</v>
      </c>
      <c r="AU39" t="s">
        <v>14</v>
      </c>
      <c r="AV39" s="4" t="str">
        <f t="shared" si="15"/>
        <v>BXX Diesel Level High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56" x14ac:dyDescent="0.25">
      <c r="A40" s="4" t="str">
        <f>$A$3&amp;"_AO_SV"</f>
        <v>BXX_DFT1_LI1_AO_SV</v>
      </c>
      <c r="B40" s="4" t="str">
        <f t="shared" si="10"/>
        <v>BXX_DFT1_LI1</v>
      </c>
      <c r="C40" s="4" t="str">
        <f>$C$3 &amp; " Override Value"</f>
        <v>BXX Diesel Level Override Value</v>
      </c>
      <c r="D40" s="2">
        <f t="shared" si="11"/>
        <v>31</v>
      </c>
      <c r="E40" t="s">
        <v>14</v>
      </c>
      <c r="F40" t="s">
        <v>13</v>
      </c>
      <c r="G40" s="5">
        <v>900</v>
      </c>
      <c r="H40" t="s">
        <v>13</v>
      </c>
      <c r="I40" t="s">
        <v>14</v>
      </c>
      <c r="J40">
        <v>0</v>
      </c>
      <c r="K40">
        <v>0</v>
      </c>
      <c r="L40" s="5" t="str">
        <f t="shared" si="16"/>
        <v>%</v>
      </c>
      <c r="M40" s="4">
        <f t="shared" si="12"/>
        <v>0</v>
      </c>
      <c r="N40" s="5">
        <f t="shared" si="17"/>
        <v>0</v>
      </c>
      <c r="O40" s="5">
        <f t="shared" si="18"/>
        <v>100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100</v>
      </c>
      <c r="AQ40" t="s">
        <v>108</v>
      </c>
      <c r="AR40" s="4" t="str">
        <f t="shared" si="14"/>
        <v>BXX</v>
      </c>
      <c r="AS40" t="s">
        <v>14</v>
      </c>
      <c r="AT40" s="4" t="str">
        <f>$A$3&amp;".AO_SV"</f>
        <v>BXX_DFT1_LI1.AO_SV</v>
      </c>
      <c r="AU40" t="s">
        <v>14</v>
      </c>
      <c r="AV40" s="4" t="str">
        <f t="shared" si="15"/>
        <v>BXX Diesel Level Override Value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56" x14ac:dyDescent="0.25">
      <c r="A41" s="4" t="str">
        <f>$A$3&amp;"_AO_EM"</f>
        <v>BXX_DFT1_LI1_AO_EM</v>
      </c>
      <c r="B41" s="4" t="str">
        <f t="shared" si="10"/>
        <v>BXX_DFT1_LI1</v>
      </c>
      <c r="C41" s="4" t="str">
        <f>$C$3 &amp; " Zero Setpoint"</f>
        <v>BXX Diesel Level Zero Setpoint</v>
      </c>
      <c r="D41" s="2">
        <f t="shared" si="11"/>
        <v>30</v>
      </c>
      <c r="E41" t="s">
        <v>14</v>
      </c>
      <c r="F41" t="s">
        <v>13</v>
      </c>
      <c r="G41">
        <v>900</v>
      </c>
      <c r="H41" t="s">
        <v>13</v>
      </c>
      <c r="I41" t="s">
        <v>14</v>
      </c>
      <c r="J41">
        <v>0</v>
      </c>
      <c r="K41">
        <v>0</v>
      </c>
      <c r="L41" s="5" t="str">
        <f t="shared" si="16"/>
        <v>%</v>
      </c>
      <c r="M41" s="4">
        <f t="shared" si="12"/>
        <v>0</v>
      </c>
      <c r="N41" s="5">
        <f t="shared" si="17"/>
        <v>0</v>
      </c>
      <c r="O41" s="5">
        <f t="shared" si="18"/>
        <v>100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100</v>
      </c>
      <c r="AQ41" t="s">
        <v>108</v>
      </c>
      <c r="AR41" s="4" t="str">
        <f t="shared" si="14"/>
        <v>BXX</v>
      </c>
      <c r="AS41" t="s">
        <v>14</v>
      </c>
      <c r="AT41" s="4" t="str">
        <f>$A$3&amp;".AO_EM"</f>
        <v>BXX_DFT1_LI1.AO_EM</v>
      </c>
      <c r="AU41" t="s">
        <v>14</v>
      </c>
      <c r="AV41" s="4" t="str">
        <f t="shared" si="15"/>
        <v>BXX Diesel Level Zero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56" x14ac:dyDescent="0.25">
      <c r="A42" s="4" t="str">
        <f>$A$3&amp;"_SN_HH"</f>
        <v>BXX_DFT1_LI1_SN_HH</v>
      </c>
      <c r="B42" s="4" t="str">
        <f t="shared" si="10"/>
        <v>BXX_DFT1_LI1</v>
      </c>
      <c r="C42" s="4" t="str">
        <f>$C$3 &amp; " HIHI Alarm Delay"</f>
        <v>BXX Diesel Level HIHI Alarm Delay</v>
      </c>
      <c r="D42" s="2">
        <f t="shared" si="11"/>
        <v>33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t="s">
        <v>109</v>
      </c>
      <c r="M42" s="4">
        <f t="shared" si="12"/>
        <v>0</v>
      </c>
      <c r="N42">
        <v>0</v>
      </c>
      <c r="O42">
        <v>999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999</v>
      </c>
      <c r="AQ42" t="s">
        <v>108</v>
      </c>
      <c r="AR42" s="4" t="str">
        <f t="shared" si="14"/>
        <v>BXX</v>
      </c>
      <c r="AS42" t="s">
        <v>14</v>
      </c>
      <c r="AT42" s="4" t="str">
        <f>$A$3&amp;".SN_HH"</f>
        <v>BXX_DFT1_LI1.SN_HH</v>
      </c>
      <c r="AU42" t="s">
        <v>14</v>
      </c>
      <c r="AV42" s="4" t="str">
        <f t="shared" si="15"/>
        <v>BXX Diesel Level HIHI Alarm Delay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56" x14ac:dyDescent="0.25">
      <c r="A43" s="4" t="str">
        <f>$A$3&amp;"_SN_LO"</f>
        <v>BXX_DFT1_LI1_SN_LO</v>
      </c>
      <c r="B43" s="4" t="str">
        <f t="shared" si="10"/>
        <v>BXX_DFT1_LI1</v>
      </c>
      <c r="C43" s="4" t="str">
        <f>$C$3 &amp; " Low Alarm Delay"</f>
        <v>BXX Diesel Level Low Alarm Delay</v>
      </c>
      <c r="D43" s="2">
        <f t="shared" si="11"/>
        <v>32</v>
      </c>
      <c r="E43" t="s">
        <v>14</v>
      </c>
      <c r="F43" t="s">
        <v>13</v>
      </c>
      <c r="G43" s="5">
        <v>900</v>
      </c>
      <c r="H43" t="s">
        <v>13</v>
      </c>
      <c r="I43" t="s">
        <v>14</v>
      </c>
      <c r="J43">
        <v>0</v>
      </c>
      <c r="K43">
        <v>0</v>
      </c>
      <c r="L43" t="s">
        <v>109</v>
      </c>
      <c r="M43" s="4">
        <f t="shared" si="12"/>
        <v>0</v>
      </c>
      <c r="N43">
        <v>0</v>
      </c>
      <c r="O43">
        <v>999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999</v>
      </c>
      <c r="AQ43" t="s">
        <v>108</v>
      </c>
      <c r="AR43" s="4" t="str">
        <f t="shared" si="14"/>
        <v>BXX</v>
      </c>
      <c r="AS43" t="s">
        <v>14</v>
      </c>
      <c r="AT43" s="4" t="str">
        <f>$A$3&amp;".SN_LO"</f>
        <v>BXX_DFT1_LI1.SN_LO</v>
      </c>
      <c r="AU43" t="s">
        <v>14</v>
      </c>
      <c r="AV43" s="4" t="str">
        <f t="shared" si="15"/>
        <v>BXX Diesel Level Low Alarm Delay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56" x14ac:dyDescent="0.25">
      <c r="A44" s="4" t="str">
        <f>$A$3&amp;"_AO_LL"</f>
        <v>BXX_DFT1_LI1_AO_LL</v>
      </c>
      <c r="B44" s="4" t="str">
        <f t="shared" si="10"/>
        <v>BXX_DFT1_LI1</v>
      </c>
      <c r="C44" s="4" t="str">
        <f>$C$3 &amp; " LOLO Setpoint"</f>
        <v>BXX Diesel Level LOLO Setpoint</v>
      </c>
      <c r="D44" s="2">
        <f t="shared" si="11"/>
        <v>30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s="5" t="str">
        <f t="shared" ref="L44" si="19">$L$35</f>
        <v>%</v>
      </c>
      <c r="M44" s="4">
        <f t="shared" si="12"/>
        <v>0</v>
      </c>
      <c r="N44" s="5">
        <f t="shared" ref="N44" si="20">$N$35</f>
        <v>0</v>
      </c>
      <c r="O44" s="5">
        <f t="shared" ref="O44" si="21">$O$35</f>
        <v>100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100</v>
      </c>
      <c r="AQ44" t="s">
        <v>108</v>
      </c>
      <c r="AR44" s="4" t="str">
        <f t="shared" si="14"/>
        <v>BXX</v>
      </c>
      <c r="AS44" t="s">
        <v>14</v>
      </c>
      <c r="AT44" s="4" t="str">
        <f>$A$3&amp;".AO_LL"</f>
        <v>BXX_DFT1_LI1.AO_LL</v>
      </c>
      <c r="AU44" t="s">
        <v>14</v>
      </c>
      <c r="AV44" s="4" t="str">
        <f t="shared" si="15"/>
        <v>BXX Diesel Level LOLO Setpoint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56" x14ac:dyDescent="0.25">
      <c r="A45" t="s">
        <v>123</v>
      </c>
      <c r="B45" t="s">
        <v>16</v>
      </c>
      <c r="C45" t="s">
        <v>17</v>
      </c>
      <c r="E45" t="s">
        <v>39</v>
      </c>
      <c r="F45" t="s">
        <v>18</v>
      </c>
      <c r="G45" t="s">
        <v>19</v>
      </c>
      <c r="H45" t="s">
        <v>40</v>
      </c>
      <c r="I45" t="s">
        <v>124</v>
      </c>
      <c r="J45" t="s">
        <v>125</v>
      </c>
      <c r="K45" t="s">
        <v>51</v>
      </c>
      <c r="L45" t="s">
        <v>53</v>
      </c>
    </row>
    <row r="46" spans="1:56" x14ac:dyDescent="0.25">
      <c r="A46" s="4" t="str">
        <f>$A$3&amp;"_DI_NM"</f>
        <v>BXX_DFT1_LI1_DI_NM</v>
      </c>
      <c r="B46" s="4" t="str">
        <f t="shared" si="10"/>
        <v>BXX_DFT1_LI1</v>
      </c>
      <c r="C46" s="4" t="str">
        <f t="shared" si="10"/>
        <v>BXX_DFT1_LI1</v>
      </c>
      <c r="D46" s="2">
        <f t="shared" si="11"/>
        <v>12</v>
      </c>
      <c r="E46" t="s">
        <v>14</v>
      </c>
      <c r="F46" t="s">
        <v>14</v>
      </c>
      <c r="G46">
        <v>0</v>
      </c>
      <c r="H46" t="s">
        <v>13</v>
      </c>
      <c r="I46">
        <v>24</v>
      </c>
      <c r="J46" t="s">
        <v>116</v>
      </c>
      <c r="K46" t="s">
        <v>116</v>
      </c>
      <c r="L46" t="s">
        <v>13</v>
      </c>
    </row>
    <row r="47" spans="1:56" x14ac:dyDescent="0.25">
      <c r="A47" t="s">
        <v>126</v>
      </c>
      <c r="B47" t="s">
        <v>127</v>
      </c>
      <c r="C47" t="s">
        <v>128</v>
      </c>
      <c r="D47" s="2">
        <f t="shared" si="11"/>
        <v>20</v>
      </c>
      <c r="E47" t="s">
        <v>14</v>
      </c>
      <c r="F47" t="s">
        <v>14</v>
      </c>
      <c r="G47">
        <v>0</v>
      </c>
      <c r="H47" t="s">
        <v>14</v>
      </c>
      <c r="I47">
        <v>131</v>
      </c>
    </row>
    <row r="48" spans="1:56" x14ac:dyDescent="0.25">
      <c r="A48" t="s">
        <v>604</v>
      </c>
      <c r="B48" t="s">
        <v>127</v>
      </c>
      <c r="C48" t="s">
        <v>129</v>
      </c>
      <c r="D48" s="2">
        <f t="shared" si="11"/>
        <v>32</v>
      </c>
      <c r="E48" t="s">
        <v>14</v>
      </c>
      <c r="F48" t="s">
        <v>14</v>
      </c>
      <c r="G48">
        <v>0</v>
      </c>
      <c r="H48" t="s">
        <v>14</v>
      </c>
      <c r="I48">
        <v>131</v>
      </c>
    </row>
    <row r="49" spans="1:16" x14ac:dyDescent="0.25">
      <c r="A49" t="s">
        <v>130</v>
      </c>
      <c r="B49" t="s">
        <v>16</v>
      </c>
      <c r="C49" t="s">
        <v>17</v>
      </c>
      <c r="D49" s="2">
        <f t="shared" si="11"/>
        <v>7</v>
      </c>
      <c r="E49" t="s">
        <v>39</v>
      </c>
      <c r="F49" t="s">
        <v>18</v>
      </c>
      <c r="G49" t="s">
        <v>19</v>
      </c>
      <c r="H49" t="s">
        <v>40</v>
      </c>
      <c r="I49" t="s">
        <v>124</v>
      </c>
      <c r="J49" t="s">
        <v>125</v>
      </c>
      <c r="K49" t="s">
        <v>47</v>
      </c>
      <c r="L49" t="s">
        <v>48</v>
      </c>
      <c r="M49" t="s">
        <v>49</v>
      </c>
      <c r="N49" t="s">
        <v>50</v>
      </c>
      <c r="O49" t="s">
        <v>51</v>
      </c>
      <c r="P49" t="s">
        <v>53</v>
      </c>
    </row>
    <row r="50" spans="1:16" x14ac:dyDescent="0.25">
      <c r="A50" s="4" t="str">
        <f>$A$3&amp;"_PB_HH_RN"</f>
        <v>BXX_DFT1_LI1_PB_HH_RN</v>
      </c>
      <c r="B50" s="4" t="str">
        <f>$A$3</f>
        <v>BXX_DFT1_LI1</v>
      </c>
      <c r="C50" s="4" t="str">
        <f>$C$3 &amp; " HIHI Alarm Disabled Reason"</f>
        <v>BXX Diesel Level HIHI Alarm Disabled Reason</v>
      </c>
      <c r="D50" s="2">
        <f t="shared" si="11"/>
        <v>43</v>
      </c>
      <c r="E50" t="s">
        <v>14</v>
      </c>
      <c r="F50" t="s">
        <v>14</v>
      </c>
      <c r="G50">
        <v>0</v>
      </c>
      <c r="H50" t="s">
        <v>13</v>
      </c>
      <c r="I50">
        <v>131</v>
      </c>
      <c r="J50" t="s">
        <v>131</v>
      </c>
      <c r="K50" s="5" t="s">
        <v>630</v>
      </c>
      <c r="L50" t="s">
        <v>13</v>
      </c>
      <c r="M50" s="4" t="str">
        <f>A50</f>
        <v>BXX_DFT1_LI1_PB_HH_RN</v>
      </c>
      <c r="N50" t="s">
        <v>14</v>
      </c>
      <c r="O50" s="4" t="str">
        <f>C50</f>
        <v>BXX Diesel Level HIHI Alarm Disabled Reason</v>
      </c>
    </row>
    <row r="51" spans="1:16" x14ac:dyDescent="0.25">
      <c r="A51" s="4" t="str">
        <f>$A$3&amp;"_PB_LL_RN"</f>
        <v>BXX_DFT1_LI1_PB_LL_RN</v>
      </c>
      <c r="B51" s="4" t="str">
        <f t="shared" ref="B51:B52" si="22">$A$3</f>
        <v>BXX_DFT1_LI1</v>
      </c>
      <c r="C51" s="4" t="str">
        <f>$C$3 &amp; " LOLO Alarm Disabled Reason"</f>
        <v>BXX Diesel Level LOLO Alarm Disabled Reason</v>
      </c>
      <c r="D51" s="2">
        <f t="shared" si="11"/>
        <v>43</v>
      </c>
      <c r="E51" t="s">
        <v>14</v>
      </c>
      <c r="F51" t="s">
        <v>14</v>
      </c>
      <c r="G51">
        <v>0</v>
      </c>
      <c r="H51" t="s">
        <v>13</v>
      </c>
      <c r="I51">
        <v>131</v>
      </c>
      <c r="J51" t="s">
        <v>131</v>
      </c>
      <c r="K51" s="5" t="str">
        <f>$K$50</f>
        <v>BXXCPU01_1</v>
      </c>
      <c r="L51" t="s">
        <v>13</v>
      </c>
      <c r="M51" s="4" t="str">
        <f t="shared" ref="M51:M52" si="23">A51</f>
        <v>BXX_DFT1_LI1_PB_LL_RN</v>
      </c>
      <c r="N51" t="s">
        <v>14</v>
      </c>
      <c r="O51" s="4" t="str">
        <f t="shared" ref="O51:O52" si="24">C51</f>
        <v>BXX Diesel Level LOLO Alarm Disabled Reason</v>
      </c>
    </row>
    <row r="52" spans="1:16" x14ac:dyDescent="0.25">
      <c r="A52" s="4" t="str">
        <f>$A$3&amp;"_PB_ER_RN"</f>
        <v>BXX_DFT1_LI1_PB_ER_RN</v>
      </c>
      <c r="B52" s="4" t="str">
        <f t="shared" si="22"/>
        <v>BXX_DFT1_LI1</v>
      </c>
      <c r="C52" s="4" t="str">
        <f>$C$3 &amp; " Sig Error Alarm Dis Reason"</f>
        <v>BXX Diesel Level Sig Error Alarm Dis Reason</v>
      </c>
      <c r="D52" s="2">
        <f t="shared" si="11"/>
        <v>43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tr">
        <f>$K$50</f>
        <v>BXXCPU01_1</v>
      </c>
      <c r="L52" t="s">
        <v>13</v>
      </c>
      <c r="M52" s="4" t="str">
        <f t="shared" si="23"/>
        <v>BXX_DFT1_LI1_PB_ER_RN</v>
      </c>
      <c r="N52" t="s">
        <v>14</v>
      </c>
      <c r="O52" s="4" t="str">
        <f t="shared" si="24"/>
        <v>BXX Diesel Level Sig Error Alarm Dis Reason</v>
      </c>
    </row>
    <row r="53" spans="1:16" x14ac:dyDescent="0.25">
      <c r="A53" t="s">
        <v>560</v>
      </c>
      <c r="B53" t="s">
        <v>16</v>
      </c>
      <c r="C53" t="s">
        <v>17</v>
      </c>
      <c r="D53" s="2">
        <f t="shared" si="11"/>
        <v>7</v>
      </c>
      <c r="E53" t="s">
        <v>18</v>
      </c>
      <c r="F53" t="s">
        <v>19</v>
      </c>
      <c r="G53" t="s">
        <v>40</v>
      </c>
      <c r="H53" t="s">
        <v>53</v>
      </c>
    </row>
    <row r="54" spans="1:16" x14ac:dyDescent="0.25">
      <c r="A54" t="s">
        <v>458</v>
      </c>
      <c r="B54" t="s">
        <v>127</v>
      </c>
      <c r="C54" t="s">
        <v>132</v>
      </c>
      <c r="D54" s="2">
        <f t="shared" si="11"/>
        <v>44</v>
      </c>
      <c r="E54" t="s">
        <v>14</v>
      </c>
      <c r="F54">
        <v>0</v>
      </c>
      <c r="G54" t="s">
        <v>14</v>
      </c>
    </row>
    <row r="55" spans="1:16" x14ac:dyDescent="0.25">
      <c r="A55" t="s">
        <v>459</v>
      </c>
      <c r="B55" t="s">
        <v>127</v>
      </c>
      <c r="C55" t="s">
        <v>133</v>
      </c>
      <c r="D55" s="2">
        <f t="shared" si="11"/>
        <v>41</v>
      </c>
      <c r="E55" t="s">
        <v>14</v>
      </c>
      <c r="F55">
        <v>0</v>
      </c>
      <c r="G55" t="s">
        <v>14</v>
      </c>
    </row>
    <row r="56" spans="1:16" x14ac:dyDescent="0.25">
      <c r="A56" t="s">
        <v>460</v>
      </c>
      <c r="B56" t="s">
        <v>127</v>
      </c>
      <c r="C56" t="s">
        <v>134</v>
      </c>
      <c r="D56" s="2">
        <f t="shared" si="11"/>
        <v>39</v>
      </c>
      <c r="E56" t="s">
        <v>14</v>
      </c>
      <c r="F56">
        <v>0</v>
      </c>
      <c r="G56" t="s">
        <v>14</v>
      </c>
    </row>
    <row r="57" spans="1:16" x14ac:dyDescent="0.25">
      <c r="A57" t="s">
        <v>461</v>
      </c>
      <c r="B57" t="s">
        <v>127</v>
      </c>
      <c r="C57" t="s">
        <v>135</v>
      </c>
      <c r="D57" s="2">
        <f t="shared" si="11"/>
        <v>39</v>
      </c>
      <c r="E57" t="s">
        <v>14</v>
      </c>
      <c r="F57">
        <v>0</v>
      </c>
      <c r="G57" t="s">
        <v>14</v>
      </c>
    </row>
    <row r="58" spans="1:16" x14ac:dyDescent="0.25">
      <c r="A58" t="s">
        <v>462</v>
      </c>
      <c r="B58" t="s">
        <v>127</v>
      </c>
      <c r="C58" t="s">
        <v>136</v>
      </c>
      <c r="D58" s="2">
        <f t="shared" si="11"/>
        <v>41</v>
      </c>
      <c r="E58" t="s">
        <v>14</v>
      </c>
      <c r="F58">
        <v>0</v>
      </c>
      <c r="G58" t="s">
        <v>14</v>
      </c>
    </row>
    <row r="59" spans="1:16" x14ac:dyDescent="0.25">
      <c r="A59" t="s">
        <v>463</v>
      </c>
      <c r="B59" t="s">
        <v>127</v>
      </c>
      <c r="C59" t="s">
        <v>137</v>
      </c>
      <c r="D59" s="2">
        <f t="shared" si="11"/>
        <v>49</v>
      </c>
      <c r="E59" t="s">
        <v>14</v>
      </c>
      <c r="F59">
        <v>0</v>
      </c>
      <c r="G59" t="s">
        <v>14</v>
      </c>
    </row>
    <row r="60" spans="1:16" x14ac:dyDescent="0.25">
      <c r="A60" t="s">
        <v>464</v>
      </c>
      <c r="B60" t="s">
        <v>127</v>
      </c>
      <c r="C60" t="s">
        <v>138</v>
      </c>
      <c r="D60" s="2">
        <f t="shared" si="11"/>
        <v>35</v>
      </c>
      <c r="E60" t="s">
        <v>14</v>
      </c>
      <c r="F60">
        <v>0</v>
      </c>
      <c r="G60" t="s">
        <v>14</v>
      </c>
    </row>
    <row r="61" spans="1:16" x14ac:dyDescent="0.25">
      <c r="A61" t="s">
        <v>465</v>
      </c>
      <c r="B61" t="s">
        <v>127</v>
      </c>
      <c r="C61" t="s">
        <v>139</v>
      </c>
      <c r="D61" s="2">
        <f t="shared" si="11"/>
        <v>39</v>
      </c>
      <c r="E61" t="s">
        <v>14</v>
      </c>
      <c r="F61">
        <v>0</v>
      </c>
      <c r="G61" t="s">
        <v>14</v>
      </c>
    </row>
    <row r="62" spans="1:16" x14ac:dyDescent="0.25">
      <c r="A62" t="s">
        <v>487</v>
      </c>
      <c r="B62" t="s">
        <v>127</v>
      </c>
      <c r="C62" t="s">
        <v>140</v>
      </c>
      <c r="D62" s="2">
        <f t="shared" si="11"/>
        <v>42</v>
      </c>
      <c r="E62" t="s">
        <v>14</v>
      </c>
      <c r="F62">
        <v>0</v>
      </c>
      <c r="G62" t="s">
        <v>14</v>
      </c>
    </row>
    <row r="63" spans="1:16" x14ac:dyDescent="0.25">
      <c r="A63" t="s">
        <v>426</v>
      </c>
      <c r="B63" t="s">
        <v>127</v>
      </c>
      <c r="C63" t="s">
        <v>141</v>
      </c>
      <c r="D63" s="2">
        <f t="shared" si="11"/>
        <v>31</v>
      </c>
      <c r="E63" t="s">
        <v>14</v>
      </c>
      <c r="F63">
        <v>0</v>
      </c>
      <c r="G63" t="s">
        <v>14</v>
      </c>
    </row>
    <row r="64" spans="1:16" x14ac:dyDescent="0.25">
      <c r="A64" t="s">
        <v>466</v>
      </c>
      <c r="B64" t="s">
        <v>127</v>
      </c>
      <c r="C64" t="s">
        <v>142</v>
      </c>
      <c r="D64" s="2">
        <f t="shared" si="11"/>
        <v>41</v>
      </c>
      <c r="E64" t="s">
        <v>14</v>
      </c>
      <c r="F64">
        <v>0</v>
      </c>
      <c r="G64" t="s">
        <v>14</v>
      </c>
    </row>
    <row r="65" spans="1:8" x14ac:dyDescent="0.25">
      <c r="A65" t="s">
        <v>467</v>
      </c>
      <c r="B65" t="s">
        <v>127</v>
      </c>
      <c r="C65" t="s">
        <v>143</v>
      </c>
      <c r="D65" s="2">
        <f t="shared" si="11"/>
        <v>47</v>
      </c>
      <c r="E65" t="s">
        <v>14</v>
      </c>
      <c r="F65">
        <v>0</v>
      </c>
      <c r="G65" t="s">
        <v>14</v>
      </c>
    </row>
    <row r="66" spans="1:8" x14ac:dyDescent="0.25">
      <c r="A66" t="s">
        <v>468</v>
      </c>
      <c r="B66" t="s">
        <v>127</v>
      </c>
      <c r="C66" t="s">
        <v>144</v>
      </c>
      <c r="D66" s="2">
        <f t="shared" si="11"/>
        <v>30</v>
      </c>
      <c r="E66" t="s">
        <v>14</v>
      </c>
      <c r="F66">
        <v>0</v>
      </c>
      <c r="G66" t="s">
        <v>14</v>
      </c>
    </row>
    <row r="67" spans="1:8" x14ac:dyDescent="0.25">
      <c r="A67" t="s">
        <v>145</v>
      </c>
      <c r="B67" t="s">
        <v>16</v>
      </c>
      <c r="C67" t="s">
        <v>17</v>
      </c>
      <c r="D67" s="2">
        <f t="shared" si="11"/>
        <v>7</v>
      </c>
      <c r="E67" t="s">
        <v>18</v>
      </c>
      <c r="F67" t="s">
        <v>19</v>
      </c>
      <c r="G67" t="s">
        <v>40</v>
      </c>
      <c r="H67" t="s">
        <v>53</v>
      </c>
    </row>
    <row r="68" spans="1:8" x14ac:dyDescent="0.25">
      <c r="A68" t="s">
        <v>493</v>
      </c>
      <c r="B68" t="s">
        <v>127</v>
      </c>
      <c r="C68" t="s">
        <v>146</v>
      </c>
      <c r="D68" s="2">
        <f t="shared" si="11"/>
        <v>49</v>
      </c>
      <c r="E68" t="s">
        <v>14</v>
      </c>
      <c r="F68">
        <v>0</v>
      </c>
      <c r="G68" t="s">
        <v>14</v>
      </c>
    </row>
    <row r="69" spans="1:8" x14ac:dyDescent="0.25">
      <c r="A69" t="s">
        <v>494</v>
      </c>
      <c r="B69" t="s">
        <v>127</v>
      </c>
      <c r="C69" t="s">
        <v>147</v>
      </c>
      <c r="D69" s="2">
        <f t="shared" si="11"/>
        <v>41</v>
      </c>
      <c r="E69" t="s">
        <v>14</v>
      </c>
      <c r="F69">
        <v>0</v>
      </c>
      <c r="G69" t="s">
        <v>14</v>
      </c>
    </row>
    <row r="70" spans="1:8" x14ac:dyDescent="0.25">
      <c r="A70" t="s">
        <v>499</v>
      </c>
      <c r="B70" t="s">
        <v>127</v>
      </c>
      <c r="C70" t="s">
        <v>148</v>
      </c>
      <c r="D70" s="2">
        <f t="shared" si="11"/>
        <v>37</v>
      </c>
      <c r="E70" t="s">
        <v>14</v>
      </c>
      <c r="F70">
        <v>0</v>
      </c>
      <c r="G70" t="s">
        <v>14</v>
      </c>
    </row>
    <row r="71" spans="1:8" x14ac:dyDescent="0.25">
      <c r="A71" t="s">
        <v>495</v>
      </c>
      <c r="B71" t="s">
        <v>127</v>
      </c>
      <c r="C71" t="s">
        <v>149</v>
      </c>
      <c r="D71" s="2">
        <f t="shared" si="11"/>
        <v>28</v>
      </c>
      <c r="E71" t="s">
        <v>14</v>
      </c>
      <c r="F71">
        <v>0</v>
      </c>
      <c r="G71" t="s">
        <v>14</v>
      </c>
    </row>
    <row r="72" spans="1:8" x14ac:dyDescent="0.25">
      <c r="A72" t="s">
        <v>496</v>
      </c>
      <c r="B72" t="s">
        <v>127</v>
      </c>
      <c r="C72" t="s">
        <v>150</v>
      </c>
      <c r="D72" s="2">
        <f t="shared" si="11"/>
        <v>26</v>
      </c>
      <c r="E72" t="s">
        <v>14</v>
      </c>
      <c r="F72">
        <v>0</v>
      </c>
      <c r="G72" t="s">
        <v>14</v>
      </c>
    </row>
    <row r="73" spans="1:8" x14ac:dyDescent="0.25">
      <c r="A73" t="s">
        <v>497</v>
      </c>
      <c r="B73" t="s">
        <v>127</v>
      </c>
      <c r="C73" t="s">
        <v>151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498</v>
      </c>
      <c r="B74" t="s">
        <v>127</v>
      </c>
      <c r="C74" t="s">
        <v>152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595</v>
      </c>
      <c r="B75" t="s">
        <v>127</v>
      </c>
      <c r="C75" t="s">
        <v>153</v>
      </c>
      <c r="D75" s="2">
        <f t="shared" si="11"/>
        <v>39</v>
      </c>
      <c r="E75" t="s">
        <v>14</v>
      </c>
      <c r="F75">
        <v>0</v>
      </c>
      <c r="G75" t="s">
        <v>14</v>
      </c>
    </row>
    <row r="76" spans="1:8" x14ac:dyDescent="0.25">
      <c r="A76" t="s">
        <v>596</v>
      </c>
      <c r="B76" t="s">
        <v>127</v>
      </c>
      <c r="C76" t="s">
        <v>154</v>
      </c>
      <c r="D76" s="2">
        <f t="shared" si="11"/>
        <v>37</v>
      </c>
      <c r="E76" t="s">
        <v>14</v>
      </c>
      <c r="F76">
        <v>0</v>
      </c>
      <c r="G76" t="s">
        <v>14</v>
      </c>
    </row>
    <row r="77" spans="1:8" x14ac:dyDescent="0.25">
      <c r="A77" t="s">
        <v>597</v>
      </c>
      <c r="B77" t="s">
        <v>127</v>
      </c>
      <c r="C77" t="s">
        <v>155</v>
      </c>
      <c r="D77" s="2">
        <f t="shared" si="11"/>
        <v>37</v>
      </c>
      <c r="E77" t="s">
        <v>14</v>
      </c>
      <c r="F77">
        <v>0</v>
      </c>
      <c r="G77" t="s">
        <v>14</v>
      </c>
    </row>
    <row r="78" spans="1:8" x14ac:dyDescent="0.25">
      <c r="A78" t="s">
        <v>598</v>
      </c>
      <c r="B78" t="s">
        <v>127</v>
      </c>
      <c r="C78" t="s">
        <v>156</v>
      </c>
      <c r="D78" s="2">
        <f t="shared" si="11"/>
        <v>39</v>
      </c>
      <c r="E78" t="s">
        <v>14</v>
      </c>
      <c r="F78">
        <v>0</v>
      </c>
      <c r="G78" t="s">
        <v>14</v>
      </c>
    </row>
    <row r="79" spans="1:8" x14ac:dyDescent="0.25">
      <c r="A79" t="s">
        <v>599</v>
      </c>
      <c r="B79" t="s">
        <v>127</v>
      </c>
      <c r="C79" t="s">
        <v>157</v>
      </c>
      <c r="D79" s="2">
        <f t="shared" si="11"/>
        <v>44</v>
      </c>
      <c r="E79" t="s">
        <v>14</v>
      </c>
      <c r="F79">
        <v>0</v>
      </c>
      <c r="G79" t="s">
        <v>14</v>
      </c>
    </row>
    <row r="80" spans="1:8" x14ac:dyDescent="0.25">
      <c r="A80" t="s">
        <v>600</v>
      </c>
      <c r="B80" t="s">
        <v>127</v>
      </c>
      <c r="C80" t="s">
        <v>158</v>
      </c>
      <c r="D80" s="2">
        <f t="shared" si="11"/>
        <v>44</v>
      </c>
      <c r="E80" t="s">
        <v>14</v>
      </c>
      <c r="F80">
        <v>0</v>
      </c>
      <c r="G80" t="s">
        <v>14</v>
      </c>
    </row>
    <row r="81" spans="1:8" x14ac:dyDescent="0.25">
      <c r="A81" t="s">
        <v>601</v>
      </c>
      <c r="B81" t="s">
        <v>127</v>
      </c>
      <c r="C81" t="s">
        <v>159</v>
      </c>
      <c r="D81" s="2">
        <f t="shared" si="11"/>
        <v>38</v>
      </c>
      <c r="E81" t="s">
        <v>14</v>
      </c>
      <c r="F81">
        <v>0</v>
      </c>
      <c r="G81" t="s">
        <v>14</v>
      </c>
    </row>
    <row r="82" spans="1:8" x14ac:dyDescent="0.25">
      <c r="A82" t="s">
        <v>602</v>
      </c>
      <c r="B82" t="s">
        <v>127</v>
      </c>
      <c r="C82" t="s">
        <v>160</v>
      </c>
      <c r="D82" s="2">
        <f t="shared" si="11"/>
        <v>37</v>
      </c>
      <c r="E82" t="s">
        <v>14</v>
      </c>
      <c r="F82">
        <v>0</v>
      </c>
      <c r="G82" t="s">
        <v>14</v>
      </c>
    </row>
    <row r="83" spans="1:8" x14ac:dyDescent="0.25">
      <c r="A83" t="s">
        <v>500</v>
      </c>
      <c r="B83" t="s">
        <v>127</v>
      </c>
      <c r="C83" t="s">
        <v>161</v>
      </c>
      <c r="D83" s="2">
        <f t="shared" si="11"/>
        <v>44</v>
      </c>
      <c r="E83" t="s">
        <v>14</v>
      </c>
      <c r="F83">
        <v>0</v>
      </c>
      <c r="G83" t="s">
        <v>14</v>
      </c>
    </row>
    <row r="84" spans="1:8" x14ac:dyDescent="0.25">
      <c r="A84" t="s">
        <v>162</v>
      </c>
      <c r="B84" t="s">
        <v>16</v>
      </c>
      <c r="C84" t="s">
        <v>17</v>
      </c>
      <c r="D84" s="2">
        <f t="shared" si="11"/>
        <v>7</v>
      </c>
      <c r="E84" t="s">
        <v>18</v>
      </c>
      <c r="F84" t="s">
        <v>19</v>
      </c>
      <c r="G84" t="s">
        <v>40</v>
      </c>
      <c r="H84" t="s">
        <v>53</v>
      </c>
    </row>
    <row r="85" spans="1:8" x14ac:dyDescent="0.25">
      <c r="A85" t="s">
        <v>163</v>
      </c>
      <c r="B85" t="s">
        <v>127</v>
      </c>
      <c r="C85" t="s">
        <v>164</v>
      </c>
      <c r="D85" s="2">
        <f t="shared" si="11"/>
        <v>38</v>
      </c>
      <c r="E85" t="s">
        <v>14</v>
      </c>
      <c r="F85">
        <v>0</v>
      </c>
      <c r="G85" t="s">
        <v>14</v>
      </c>
    </row>
    <row r="86" spans="1:8" x14ac:dyDescent="0.25">
      <c r="A86" t="s">
        <v>165</v>
      </c>
      <c r="B86" t="s">
        <v>16</v>
      </c>
      <c r="C86" t="s">
        <v>17</v>
      </c>
      <c r="D86" s="2">
        <f t="shared" si="11"/>
        <v>7</v>
      </c>
      <c r="E86" t="s">
        <v>53</v>
      </c>
    </row>
    <row r="87" spans="1:8" x14ac:dyDescent="0.25">
      <c r="A87" t="s">
        <v>166</v>
      </c>
      <c r="B87" t="s">
        <v>127</v>
      </c>
      <c r="C87" t="s">
        <v>167</v>
      </c>
      <c r="D87" s="2">
        <f t="shared" si="11"/>
        <v>29</v>
      </c>
    </row>
    <row r="88" spans="1:8" x14ac:dyDescent="0.25">
      <c r="D88" s="2">
        <f t="shared" si="11"/>
        <v>0</v>
      </c>
    </row>
  </sheetData>
  <conditionalFormatting sqref="D3:D4 D6:D27 D33:D44 D51:D88">
    <cfRule type="cellIs" dxfId="201" priority="7" operator="greaterThan">
      <formula>49</formula>
    </cfRule>
  </conditionalFormatting>
  <conditionalFormatting sqref="D30:D31">
    <cfRule type="cellIs" dxfId="200" priority="5" operator="greaterThan">
      <formula>49</formula>
    </cfRule>
  </conditionalFormatting>
  <conditionalFormatting sqref="D46:D50">
    <cfRule type="cellIs" dxfId="199" priority="3" operator="greaterThan">
      <formula>49</formula>
    </cfRule>
  </conditionalFormatting>
  <conditionalFormatting sqref="D28">
    <cfRule type="cellIs" dxfId="198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view="pageBreakPreview" topLeftCell="B43" zoomScaleNormal="100" zoomScaleSheetLayoutView="100" workbookViewId="0">
      <selection activeCell="K56" sqref="K56"/>
    </sheetView>
  </sheetViews>
  <sheetFormatPr defaultRowHeight="15" x14ac:dyDescent="0.25"/>
  <cols>
    <col min="1" max="1" width="36.7109375" customWidth="1"/>
    <col min="2" max="2" width="23.5703125" customWidth="1"/>
    <col min="3" max="3" width="47.42578125" bestFit="1" customWidth="1"/>
    <col min="4" max="4" width="20.140625" style="2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28515625" bestFit="1" customWidth="1"/>
    <col min="12" max="12" width="18.28515625" bestFit="1" customWidth="1"/>
    <col min="13" max="13" width="21.7109375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28515625" bestFit="1" customWidth="1"/>
    <col min="19" max="19" width="58.28515625" bestFit="1" customWidth="1"/>
    <col min="20" max="20" width="19.28515625" bestFit="1" customWidth="1"/>
    <col min="21" max="21" width="15.71093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28515625" bestFit="1" customWidth="1"/>
    <col min="48" max="48" width="46.28515625" bestFit="1" customWidth="1"/>
    <col min="49" max="49" width="14.71093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28515625" bestFit="1" customWidth="1"/>
    <col min="54" max="55" width="19.28515625" bestFit="1" customWidth="1"/>
    <col min="56" max="56" width="15.71093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28515625" bestFit="1" customWidth="1"/>
    <col min="61" max="62" width="19.28515625" bestFit="1" customWidth="1"/>
    <col min="63" max="63" width="15.7109375" bestFit="1" customWidth="1"/>
    <col min="64" max="64" width="13.28515625" bestFit="1" customWidth="1"/>
  </cols>
  <sheetData>
    <row r="1" spans="1:23" x14ac:dyDescent="0.25">
      <c r="A1" t="s">
        <v>0</v>
      </c>
      <c r="D1"/>
    </row>
    <row r="2" spans="1:23" x14ac:dyDescent="0.25">
      <c r="A2" t="s">
        <v>15</v>
      </c>
      <c r="B2" t="s">
        <v>16</v>
      </c>
      <c r="C2" t="s">
        <v>17</v>
      </c>
      <c r="D2" s="1" t="s">
        <v>1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t="s">
        <v>35</v>
      </c>
    </row>
    <row r="3" spans="1:23" x14ac:dyDescent="0.25">
      <c r="A3" s="3" t="s">
        <v>423</v>
      </c>
      <c r="B3" s="4" t="str">
        <f>BXXPLC1!A5</f>
        <v>BXX</v>
      </c>
      <c r="C3" s="3" t="s">
        <v>264</v>
      </c>
      <c r="D3" s="2">
        <f>LEN(C3)</f>
        <v>20</v>
      </c>
      <c r="E3" t="s">
        <v>13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4" t="str">
        <f>BXXPLC1!A7</f>
        <v>BXX_DSAB</v>
      </c>
      <c r="B4" s="4" t="str">
        <f>BXXPLC1!B7</f>
        <v>Disabled_Alarms</v>
      </c>
      <c r="C4" s="4" t="str">
        <f>BXXPLC1!C7</f>
        <v>BXX Disabled Alarms</v>
      </c>
      <c r="D4" s="2">
        <f>LEN(C4)</f>
        <v>19</v>
      </c>
      <c r="E4" t="s">
        <v>13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38</v>
      </c>
      <c r="B5" t="s">
        <v>16</v>
      </c>
      <c r="C5" t="s">
        <v>17</v>
      </c>
      <c r="E5" t="s">
        <v>39</v>
      </c>
      <c r="F5" t="s">
        <v>18</v>
      </c>
      <c r="G5" t="s">
        <v>19</v>
      </c>
      <c r="H5" t="s">
        <v>40</v>
      </c>
      <c r="I5" t="s">
        <v>41</v>
      </c>
      <c r="J5" t="s">
        <v>42</v>
      </c>
      <c r="K5" t="s">
        <v>43</v>
      </c>
      <c r="L5" t="s">
        <v>44</v>
      </c>
      <c r="M5" t="s">
        <v>45</v>
      </c>
      <c r="N5" t="s">
        <v>46</v>
      </c>
      <c r="O5" t="s">
        <v>47</v>
      </c>
      <c r="P5" t="s">
        <v>48</v>
      </c>
      <c r="Q5" t="s">
        <v>49</v>
      </c>
      <c r="R5" t="s">
        <v>50</v>
      </c>
      <c r="S5" t="s">
        <v>51</v>
      </c>
      <c r="T5" t="s">
        <v>52</v>
      </c>
      <c r="U5" t="s">
        <v>27</v>
      </c>
      <c r="V5" t="s">
        <v>35</v>
      </c>
      <c r="W5" t="s">
        <v>53</v>
      </c>
    </row>
    <row r="6" spans="1:23" x14ac:dyDescent="0.25">
      <c r="A6" s="4" t="str">
        <f>$A$3&amp;"_DI_AD"</f>
        <v>BXX_WW01_LI1_DI_AD</v>
      </c>
      <c r="B6" s="4" t="str">
        <f>$A$4</f>
        <v>BXX_DSAB</v>
      </c>
      <c r="C6" s="4" t="str">
        <f>$C$3 &amp; " Disabled Analog Alarm"</f>
        <v>BXX Wet Well 1 Level Disabled Analog Alarm</v>
      </c>
      <c r="D6" s="2">
        <f>LEN(C6)</f>
        <v>42</v>
      </c>
      <c r="E6" t="s">
        <v>14</v>
      </c>
      <c r="F6" t="s">
        <v>14</v>
      </c>
      <c r="G6">
        <v>0</v>
      </c>
      <c r="H6" t="s">
        <v>13</v>
      </c>
      <c r="I6" t="s">
        <v>54</v>
      </c>
      <c r="J6" t="s">
        <v>54</v>
      </c>
      <c r="K6" t="s">
        <v>61</v>
      </c>
      <c r="L6" t="s">
        <v>61</v>
      </c>
      <c r="M6" s="5">
        <v>98</v>
      </c>
      <c r="N6" t="s">
        <v>57</v>
      </c>
      <c r="O6" s="4" t="str">
        <f>BXXPLC1!C3</f>
        <v>BXX</v>
      </c>
      <c r="P6" t="s">
        <v>14</v>
      </c>
      <c r="Q6" s="4" t="str">
        <f>$A$3&amp;".DI_AD"</f>
        <v>BXX_WW01_LI1.DI_AD</v>
      </c>
      <c r="R6" t="s">
        <v>14</v>
      </c>
      <c r="S6" s="4" t="str">
        <f>C6</f>
        <v>BXX Wet Well 1 Level Disabled Analog Alarm</v>
      </c>
      <c r="T6">
        <v>0</v>
      </c>
      <c r="U6">
        <v>0</v>
      </c>
    </row>
    <row r="7" spans="1:23" x14ac:dyDescent="0.25">
      <c r="A7" s="4" t="str">
        <f>$A$3&amp;"_DI_SC"</f>
        <v>BXX_WW01_LI1_DI_SC</v>
      </c>
      <c r="B7" s="4" t="str">
        <f>$A$3</f>
        <v>BXX_WW01_LI1</v>
      </c>
      <c r="C7" s="4" t="str">
        <f>$C$3 &amp; " Scan Status"</f>
        <v>BXX Wet Well 1 Level Scan Status</v>
      </c>
      <c r="D7" s="2">
        <f t="shared" ref="D7:D28" si="0">LEN(C7)</f>
        <v>32</v>
      </c>
      <c r="E7" t="s">
        <v>14</v>
      </c>
      <c r="F7" t="s">
        <v>13</v>
      </c>
      <c r="G7" s="5">
        <v>700</v>
      </c>
      <c r="H7" t="s">
        <v>13</v>
      </c>
      <c r="I7" t="s">
        <v>54</v>
      </c>
      <c r="J7" t="s">
        <v>59</v>
      </c>
      <c r="K7" t="s">
        <v>60</v>
      </c>
      <c r="L7" t="s">
        <v>56</v>
      </c>
      <c r="M7">
        <v>1</v>
      </c>
      <c r="N7" t="s">
        <v>57</v>
      </c>
      <c r="O7" s="4" t="str">
        <f>$O$6</f>
        <v>BXX</v>
      </c>
      <c r="P7" t="s">
        <v>14</v>
      </c>
      <c r="Q7" s="4" t="str">
        <f>$A$3&amp;".DI_SC"</f>
        <v>BXX_WW01_LI1.DI_SC</v>
      </c>
      <c r="R7" t="s">
        <v>14</v>
      </c>
      <c r="S7" s="4" t="str">
        <f t="shared" ref="S7:S28" si="1">C7</f>
        <v>BXX Wet Well 1 Level Scan Status</v>
      </c>
      <c r="T7">
        <v>0</v>
      </c>
      <c r="U7">
        <v>0</v>
      </c>
    </row>
    <row r="8" spans="1:23" x14ac:dyDescent="0.25">
      <c r="A8" s="4" t="str">
        <f>$A$3&amp;"_DA_LL"</f>
        <v>BXX_WW01_LI1_DA_LL</v>
      </c>
      <c r="B8" s="4" t="str">
        <f t="shared" ref="B8:B28" si="2">$A$3</f>
        <v>BXX_WW01_LI1</v>
      </c>
      <c r="C8" s="4" t="str">
        <f>$C$3 &amp; " LOLO Alarm"</f>
        <v>BXX Wet Well 1 Level LOLO Alarm</v>
      </c>
      <c r="D8" s="2">
        <f t="shared" si="0"/>
        <v>31</v>
      </c>
      <c r="E8" t="s">
        <v>14</v>
      </c>
      <c r="F8" t="s">
        <v>14</v>
      </c>
      <c r="G8">
        <v>0</v>
      </c>
      <c r="H8" t="s">
        <v>13</v>
      </c>
      <c r="I8" t="s">
        <v>54</v>
      </c>
      <c r="J8" t="s">
        <v>68</v>
      </c>
      <c r="K8" t="s">
        <v>119</v>
      </c>
      <c r="L8" t="s">
        <v>61</v>
      </c>
      <c r="M8" s="5">
        <v>90</v>
      </c>
      <c r="N8" t="s">
        <v>57</v>
      </c>
      <c r="O8" s="4" t="str">
        <f t="shared" ref="O8:O28" si="3">$O$6</f>
        <v>BXX</v>
      </c>
      <c r="P8" t="s">
        <v>14</v>
      </c>
      <c r="Q8" s="4" t="str">
        <f>$A$3&amp;".DA_LL"</f>
        <v>BXX_WW01_LI1.DA_LL</v>
      </c>
      <c r="R8" t="s">
        <v>14</v>
      </c>
      <c r="S8" s="4" t="str">
        <f t="shared" si="1"/>
        <v>BXX Wet Well 1 Level LOLO Alarm</v>
      </c>
      <c r="T8">
        <v>0</v>
      </c>
      <c r="U8">
        <v>0</v>
      </c>
    </row>
    <row r="9" spans="1:23" x14ac:dyDescent="0.25">
      <c r="A9" s="4" t="str">
        <f>$A$3&amp;"_DA_ER"</f>
        <v>BXX_WW01_LI1_DA_ER</v>
      </c>
      <c r="B9" s="4" t="str">
        <f t="shared" si="2"/>
        <v>BXX_WW01_LI1</v>
      </c>
      <c r="C9" s="4" t="str">
        <f>$C$3 &amp; " Signal Error Alarm"</f>
        <v>BXX Wet Well 1 Level Signal Error Alarm</v>
      </c>
      <c r="D9" s="2">
        <f t="shared" si="0"/>
        <v>39</v>
      </c>
      <c r="E9" t="s">
        <v>14</v>
      </c>
      <c r="F9" t="s">
        <v>14</v>
      </c>
      <c r="G9">
        <v>0</v>
      </c>
      <c r="H9" t="s">
        <v>13</v>
      </c>
      <c r="I9" t="s">
        <v>54</v>
      </c>
      <c r="J9" t="s">
        <v>68</v>
      </c>
      <c r="K9" t="s">
        <v>119</v>
      </c>
      <c r="L9" t="s">
        <v>61</v>
      </c>
      <c r="M9" s="5">
        <v>94</v>
      </c>
      <c r="N9" t="s">
        <v>57</v>
      </c>
      <c r="O9" s="4" t="str">
        <f t="shared" si="3"/>
        <v>BXX</v>
      </c>
      <c r="P9" t="s">
        <v>14</v>
      </c>
      <c r="Q9" s="4" t="str">
        <f>$A$3&amp;".DA_ER"</f>
        <v>BXX_WW01_LI1.DA_ER</v>
      </c>
      <c r="R9" t="s">
        <v>14</v>
      </c>
      <c r="S9" s="4" t="str">
        <f t="shared" si="1"/>
        <v>BXX Wet Well 1 Level Signal Error Alarm</v>
      </c>
      <c r="T9">
        <v>0</v>
      </c>
      <c r="U9">
        <v>0</v>
      </c>
    </row>
    <row r="10" spans="1:23" x14ac:dyDescent="0.25">
      <c r="A10" s="4" t="str">
        <f>$A$3&amp;"_PB_SM"</f>
        <v>BXX_WW01_LI1_PB_SM</v>
      </c>
      <c r="B10" s="4" t="str">
        <f t="shared" si="2"/>
        <v>BXX_WW01_LI1</v>
      </c>
      <c r="C10" s="4" t="str">
        <f>$C$3 &amp; " Alarm Test"</f>
        <v>BXX Wet Well 1 Level Alarm Test</v>
      </c>
      <c r="D10" s="2">
        <f t="shared" si="0"/>
        <v>31</v>
      </c>
      <c r="E10" t="s">
        <v>14</v>
      </c>
      <c r="F10" t="s">
        <v>13</v>
      </c>
      <c r="G10" s="5">
        <v>600</v>
      </c>
      <c r="H10" t="s">
        <v>13</v>
      </c>
      <c r="I10" t="s">
        <v>54</v>
      </c>
      <c r="J10" t="s">
        <v>54</v>
      </c>
      <c r="K10" t="s">
        <v>61</v>
      </c>
      <c r="L10" t="s">
        <v>56</v>
      </c>
      <c r="M10">
        <v>1</v>
      </c>
      <c r="N10" t="s">
        <v>57</v>
      </c>
      <c r="O10" s="4" t="str">
        <f t="shared" si="3"/>
        <v>BXX</v>
      </c>
      <c r="P10" t="s">
        <v>14</v>
      </c>
      <c r="Q10" s="4" t="str">
        <f>$A$3&amp;".PB_SM"</f>
        <v>BXX_WW01_LI1.PB_SM</v>
      </c>
      <c r="R10" t="s">
        <v>14</v>
      </c>
      <c r="S10" s="4" t="str">
        <f t="shared" si="1"/>
        <v>BXX Wet Well 1 Level Alarm Test</v>
      </c>
      <c r="T10">
        <v>0</v>
      </c>
      <c r="U10">
        <v>0</v>
      </c>
    </row>
    <row r="11" spans="1:23" x14ac:dyDescent="0.25">
      <c r="A11" s="4" t="str">
        <f>$A$3&amp;"_PB_SV"</f>
        <v>BXX_WW01_LI1_PB_SV</v>
      </c>
      <c r="B11" s="4" t="str">
        <f t="shared" si="2"/>
        <v>BXX_WW01_LI1</v>
      </c>
      <c r="C11" s="4" t="str">
        <f>$C$3 &amp; " Override Enable"</f>
        <v>BXX Wet Well 1 Level Override Enable</v>
      </c>
      <c r="D11" s="2">
        <f t="shared" si="0"/>
        <v>36</v>
      </c>
      <c r="E11" t="s">
        <v>14</v>
      </c>
      <c r="F11" t="s">
        <v>13</v>
      </c>
      <c r="G11" s="5">
        <v>600</v>
      </c>
      <c r="H11" t="s">
        <v>13</v>
      </c>
      <c r="I11" t="s">
        <v>54</v>
      </c>
      <c r="J11" t="s">
        <v>54</v>
      </c>
      <c r="K11" t="s">
        <v>61</v>
      </c>
      <c r="L11" t="s">
        <v>56</v>
      </c>
      <c r="M11">
        <v>1</v>
      </c>
      <c r="N11" t="s">
        <v>57</v>
      </c>
      <c r="O11" s="4" t="str">
        <f t="shared" si="3"/>
        <v>BXX</v>
      </c>
      <c r="P11" t="s">
        <v>14</v>
      </c>
      <c r="Q11" s="4" t="str">
        <f>$A$3&amp;".PB_SV"</f>
        <v>BXX_WW01_LI1.PB_SV</v>
      </c>
      <c r="R11" t="s">
        <v>14</v>
      </c>
      <c r="S11" s="4" t="str">
        <f t="shared" si="1"/>
        <v>BXX Wet Well 1 Level Override Enable</v>
      </c>
      <c r="T11">
        <v>0</v>
      </c>
      <c r="U11">
        <v>0</v>
      </c>
    </row>
    <row r="12" spans="1:23" x14ac:dyDescent="0.25">
      <c r="A12" s="4" t="str">
        <f>$A$3&amp;"_PB_AE"</f>
        <v>BXX_WW01_LI1_PB_AE</v>
      </c>
      <c r="B12" s="4" t="str">
        <f t="shared" si="2"/>
        <v>BXX_WW01_LI1</v>
      </c>
      <c r="C12" s="4" t="str">
        <f>$C$3 &amp; " Alarm Enable"</f>
        <v>BXX Wet Well 1 Level Alarm Enable</v>
      </c>
      <c r="D12" s="2">
        <f t="shared" si="0"/>
        <v>33</v>
      </c>
      <c r="E12" t="s">
        <v>14</v>
      </c>
      <c r="F12" t="s">
        <v>13</v>
      </c>
      <c r="G12" s="5">
        <v>600</v>
      </c>
      <c r="H12" t="s">
        <v>13</v>
      </c>
      <c r="I12" t="s">
        <v>54</v>
      </c>
      <c r="J12" t="s">
        <v>54</v>
      </c>
      <c r="K12" t="s">
        <v>61</v>
      </c>
      <c r="L12" t="s">
        <v>56</v>
      </c>
      <c r="M12">
        <v>1</v>
      </c>
      <c r="N12" t="s">
        <v>57</v>
      </c>
      <c r="O12" s="4" t="str">
        <f t="shared" si="3"/>
        <v>BXX</v>
      </c>
      <c r="P12" t="s">
        <v>14</v>
      </c>
      <c r="Q12" s="4" t="str">
        <f>$A$3&amp;".PB_AE.RE"</f>
        <v>BXX_WW01_LI1.PB_AE.RE</v>
      </c>
      <c r="R12" t="s">
        <v>14</v>
      </c>
      <c r="S12" s="4" t="str">
        <f t="shared" si="1"/>
        <v>BXX Wet Well 1 Level Alarm Enable</v>
      </c>
      <c r="T12">
        <v>0</v>
      </c>
      <c r="U12">
        <v>0</v>
      </c>
    </row>
    <row r="13" spans="1:23" x14ac:dyDescent="0.25">
      <c r="A13" s="4" t="str">
        <f>$A$3&amp;"_PB_HI"</f>
        <v>BXX_WW01_LI1_PB_HI</v>
      </c>
      <c r="B13" s="4" t="str">
        <f t="shared" si="2"/>
        <v>BXX_WW01_LI1</v>
      </c>
      <c r="C13" s="4" t="str">
        <f>$C$3 &amp; " High Alarm Enable"</f>
        <v>BXX Wet Well 1 Level High Alarm Enable</v>
      </c>
      <c r="D13" s="2">
        <f t="shared" si="0"/>
        <v>38</v>
      </c>
      <c r="E13" t="s">
        <v>14</v>
      </c>
      <c r="F13" t="s">
        <v>13</v>
      </c>
      <c r="G13" s="5">
        <v>600</v>
      </c>
      <c r="H13" t="s">
        <v>13</v>
      </c>
      <c r="I13" t="s">
        <v>54</v>
      </c>
      <c r="J13" t="s">
        <v>60</v>
      </c>
      <c r="K13" t="s">
        <v>59</v>
      </c>
      <c r="L13" t="s">
        <v>56</v>
      </c>
      <c r="M13">
        <v>1</v>
      </c>
      <c r="N13" t="s">
        <v>57</v>
      </c>
      <c r="O13" s="4" t="str">
        <f t="shared" si="3"/>
        <v>BXX</v>
      </c>
      <c r="P13" t="s">
        <v>14</v>
      </c>
      <c r="Q13" s="4" t="str">
        <f>$A$3&amp;".PB_HI.RE"</f>
        <v>BXX_WW01_LI1.PB_HI.RE</v>
      </c>
      <c r="R13" t="s">
        <v>14</v>
      </c>
      <c r="S13" s="4" t="str">
        <f t="shared" si="1"/>
        <v>BXX Wet Well 1 Level High Alarm Enable</v>
      </c>
      <c r="T13">
        <v>0</v>
      </c>
      <c r="U13">
        <v>0</v>
      </c>
    </row>
    <row r="14" spans="1:23" x14ac:dyDescent="0.25">
      <c r="A14" s="4" t="str">
        <f>$A$3&amp;"_PB_LO"</f>
        <v>BXX_WW01_LI1_PB_LO</v>
      </c>
      <c r="B14" s="4" t="str">
        <f t="shared" si="2"/>
        <v>BXX_WW01_LI1</v>
      </c>
      <c r="C14" s="4" t="str">
        <f>$C$3 &amp; " Low Alarm Enable"</f>
        <v>BXX Wet Well 1 Level Low Alarm Enable</v>
      </c>
      <c r="D14" s="2">
        <f t="shared" si="0"/>
        <v>37</v>
      </c>
      <c r="E14" t="s">
        <v>14</v>
      </c>
      <c r="F14" t="s">
        <v>13</v>
      </c>
      <c r="G14" s="5">
        <v>600</v>
      </c>
      <c r="H14" t="s">
        <v>13</v>
      </c>
      <c r="I14" t="s">
        <v>54</v>
      </c>
      <c r="J14" t="s">
        <v>60</v>
      </c>
      <c r="K14" t="s">
        <v>59</v>
      </c>
      <c r="L14" t="s">
        <v>56</v>
      </c>
      <c r="M14">
        <v>1</v>
      </c>
      <c r="N14" t="s">
        <v>57</v>
      </c>
      <c r="O14" s="4" t="str">
        <f t="shared" si="3"/>
        <v>BXX</v>
      </c>
      <c r="P14" t="s">
        <v>14</v>
      </c>
      <c r="Q14" s="4" t="str">
        <f>$A$3&amp;".PB_LO.RE"</f>
        <v>BXX_WW01_LI1.PB_LO.RE</v>
      </c>
      <c r="R14" t="s">
        <v>14</v>
      </c>
      <c r="S14" s="4" t="str">
        <f t="shared" si="1"/>
        <v>BXX Wet Well 1 Level Low Alarm Enable</v>
      </c>
      <c r="T14">
        <v>0</v>
      </c>
      <c r="U14">
        <v>0</v>
      </c>
    </row>
    <row r="15" spans="1:23" x14ac:dyDescent="0.25">
      <c r="A15" s="4" t="str">
        <f>$A$3&amp;"_PB_LL"</f>
        <v>BXX_WW01_LI1_PB_LL</v>
      </c>
      <c r="B15" s="4" t="str">
        <f t="shared" si="2"/>
        <v>BXX_WW01_LI1</v>
      </c>
      <c r="C15" s="4" t="str">
        <f>$C$3 &amp; " LOLO Alarm Enable"</f>
        <v>BXX Wet Well 1 Level LOLO Alarm Enable</v>
      </c>
      <c r="D15" s="2">
        <f t="shared" si="0"/>
        <v>38</v>
      </c>
      <c r="E15" t="s">
        <v>14</v>
      </c>
      <c r="F15" t="s">
        <v>13</v>
      </c>
      <c r="G15" s="5">
        <v>600</v>
      </c>
      <c r="H15" t="s">
        <v>13</v>
      </c>
      <c r="I15" t="s">
        <v>54</v>
      </c>
      <c r="J15" t="s">
        <v>60</v>
      </c>
      <c r="K15" t="s">
        <v>59</v>
      </c>
      <c r="L15" t="s">
        <v>56</v>
      </c>
      <c r="M15">
        <v>1</v>
      </c>
      <c r="N15" t="s">
        <v>57</v>
      </c>
      <c r="O15" s="4" t="str">
        <f t="shared" si="3"/>
        <v>BXX</v>
      </c>
      <c r="P15" t="s">
        <v>14</v>
      </c>
      <c r="Q15" s="4" t="str">
        <f>$A$3&amp;".PB_LL.RE"</f>
        <v>BXX_WW01_LI1.PB_LL.RE</v>
      </c>
      <c r="R15" t="s">
        <v>14</v>
      </c>
      <c r="S15" s="4" t="str">
        <f t="shared" si="1"/>
        <v>BXX Wet Well 1 Level LOLO Alarm Enable</v>
      </c>
      <c r="T15">
        <v>0</v>
      </c>
      <c r="U15">
        <v>0</v>
      </c>
    </row>
    <row r="16" spans="1:23" x14ac:dyDescent="0.25">
      <c r="A16" s="4" t="str">
        <f>$A$3&amp;"_PB_ER"</f>
        <v>BXX_WW01_LI1_PB_ER</v>
      </c>
      <c r="B16" s="4" t="str">
        <f t="shared" si="2"/>
        <v>BXX_WW01_LI1</v>
      </c>
      <c r="C16" s="4" t="str">
        <f>$C$3 &amp; " Signal Error Alarm En"</f>
        <v>BXX Wet Well 1 Level Signal Error Alarm En</v>
      </c>
      <c r="D16" s="2">
        <f t="shared" si="0"/>
        <v>42</v>
      </c>
      <c r="E16" t="s">
        <v>14</v>
      </c>
      <c r="F16" t="s">
        <v>13</v>
      </c>
      <c r="G16" s="5">
        <v>600</v>
      </c>
      <c r="H16" t="s">
        <v>13</v>
      </c>
      <c r="I16" t="s">
        <v>54</v>
      </c>
      <c r="J16" t="s">
        <v>60</v>
      </c>
      <c r="K16" t="s">
        <v>59</v>
      </c>
      <c r="L16" t="s">
        <v>56</v>
      </c>
      <c r="M16">
        <v>1</v>
      </c>
      <c r="N16" t="s">
        <v>57</v>
      </c>
      <c r="O16" s="4" t="str">
        <f t="shared" si="3"/>
        <v>BXX</v>
      </c>
      <c r="P16" t="s">
        <v>14</v>
      </c>
      <c r="Q16" s="4" t="str">
        <f>$A$3&amp;".PB_ER.RE"</f>
        <v>BXX_WW01_LI1.PB_ER.RE</v>
      </c>
      <c r="R16" t="s">
        <v>14</v>
      </c>
      <c r="S16" s="4" t="str">
        <f t="shared" si="1"/>
        <v>BXX Wet Well 1 Level Signal Error Alarm En</v>
      </c>
      <c r="T16">
        <v>0</v>
      </c>
      <c r="U16">
        <v>0</v>
      </c>
    </row>
    <row r="17" spans="1:64" x14ac:dyDescent="0.25">
      <c r="A17" s="4" t="str">
        <f>$A$3&amp;"_PB_SC"</f>
        <v>BXX_WW01_LI1_PB_SC</v>
      </c>
      <c r="B17" s="4" t="str">
        <f t="shared" si="2"/>
        <v>BXX_WW01_LI1</v>
      </c>
      <c r="C17" s="4" t="str">
        <f>$C$3 &amp; " Scan Enable"</f>
        <v>BXX Wet Well 1 Level Scan Enable</v>
      </c>
      <c r="D17" s="2">
        <f t="shared" si="0"/>
        <v>32</v>
      </c>
      <c r="E17" t="s">
        <v>14</v>
      </c>
      <c r="F17" t="s">
        <v>13</v>
      </c>
      <c r="G17" s="5">
        <v>600</v>
      </c>
      <c r="H17" t="s">
        <v>13</v>
      </c>
      <c r="I17" t="s">
        <v>54</v>
      </c>
      <c r="J17" t="s">
        <v>54</v>
      </c>
      <c r="K17" t="s">
        <v>61</v>
      </c>
      <c r="L17" t="s">
        <v>56</v>
      </c>
      <c r="M17">
        <v>1</v>
      </c>
      <c r="N17" t="s">
        <v>57</v>
      </c>
      <c r="O17" s="4" t="str">
        <f t="shared" si="3"/>
        <v>BXX</v>
      </c>
      <c r="P17" t="s">
        <v>14</v>
      </c>
      <c r="Q17" s="4" t="str">
        <f>$A$3&amp;".PB_SC"</f>
        <v>BXX_WW01_LI1.PB_SC</v>
      </c>
      <c r="R17" t="s">
        <v>14</v>
      </c>
      <c r="S17" s="4" t="str">
        <f t="shared" si="1"/>
        <v>BXX Wet Well 1 Level Scan Enable</v>
      </c>
      <c r="T17">
        <v>0</v>
      </c>
      <c r="U17">
        <v>0</v>
      </c>
    </row>
    <row r="18" spans="1:64" x14ac:dyDescent="0.25">
      <c r="A18" s="4" t="str">
        <f>$A$3&amp;"_DA_HH"</f>
        <v>BXX_WW01_LI1_DA_HH</v>
      </c>
      <c r="B18" s="4" t="str">
        <f t="shared" si="2"/>
        <v>BXX_WW01_LI1</v>
      </c>
      <c r="C18" s="4" t="str">
        <f>$C$3 &amp; " HIHI Alarm"</f>
        <v>BXX Wet Well 1 Level HIHI Alarm</v>
      </c>
      <c r="D18" s="2">
        <f t="shared" si="0"/>
        <v>31</v>
      </c>
      <c r="E18" t="s">
        <v>14</v>
      </c>
      <c r="F18" t="s">
        <v>14</v>
      </c>
      <c r="G18">
        <v>0</v>
      </c>
      <c r="H18" t="s">
        <v>13</v>
      </c>
      <c r="I18" t="s">
        <v>54</v>
      </c>
      <c r="J18" t="s">
        <v>68</v>
      </c>
      <c r="K18" t="s">
        <v>119</v>
      </c>
      <c r="L18" t="s">
        <v>61</v>
      </c>
      <c r="M18" s="5">
        <v>90</v>
      </c>
      <c r="N18" t="s">
        <v>57</v>
      </c>
      <c r="O18" s="4" t="str">
        <f t="shared" si="3"/>
        <v>BXX</v>
      </c>
      <c r="P18" t="s">
        <v>14</v>
      </c>
      <c r="Q18" s="4" t="str">
        <f>$A$3&amp;".DA_HH"</f>
        <v>BXX_WW01_LI1.DA_HH</v>
      </c>
      <c r="R18" t="s">
        <v>14</v>
      </c>
      <c r="S18" s="4" t="str">
        <f t="shared" si="1"/>
        <v>BXX Wet Well 1 Level HIHI Alarm</v>
      </c>
      <c r="T18">
        <v>0</v>
      </c>
      <c r="U18">
        <v>0</v>
      </c>
    </row>
    <row r="19" spans="1:64" x14ac:dyDescent="0.25">
      <c r="A19" s="4" t="str">
        <f>$A$3&amp;"_DA_HI"</f>
        <v>BXX_WW01_LI1_DA_HI</v>
      </c>
      <c r="B19" s="4" t="str">
        <f t="shared" si="2"/>
        <v>BXX_WW01_LI1</v>
      </c>
      <c r="C19" s="4" t="str">
        <f>$C$3 &amp; " HI Alarm"</f>
        <v>BXX Wet Well 1 Level HI Alarm</v>
      </c>
      <c r="D19" s="2">
        <f t="shared" si="0"/>
        <v>29</v>
      </c>
      <c r="E19" t="s">
        <v>14</v>
      </c>
      <c r="F19" t="s">
        <v>14</v>
      </c>
      <c r="G19">
        <v>0</v>
      </c>
      <c r="H19" t="s">
        <v>13</v>
      </c>
      <c r="I19" t="s">
        <v>54</v>
      </c>
      <c r="J19" t="s">
        <v>68</v>
      </c>
      <c r="K19" t="s">
        <v>119</v>
      </c>
      <c r="L19" t="s">
        <v>61</v>
      </c>
      <c r="M19" s="5">
        <v>90</v>
      </c>
      <c r="N19" t="s">
        <v>57</v>
      </c>
      <c r="O19" s="4" t="str">
        <f t="shared" si="3"/>
        <v>BXX</v>
      </c>
      <c r="P19" t="s">
        <v>14</v>
      </c>
      <c r="Q19" s="4" t="str">
        <f>$A$3&amp;".DA_HI"</f>
        <v>BXX_WW01_LI1.DA_HI</v>
      </c>
      <c r="R19" t="s">
        <v>14</v>
      </c>
      <c r="S19" s="4" t="str">
        <f t="shared" si="1"/>
        <v>BXX Wet Well 1 Level HI Alarm</v>
      </c>
      <c r="T19">
        <v>0</v>
      </c>
      <c r="U19">
        <v>0</v>
      </c>
    </row>
    <row r="20" spans="1:64" x14ac:dyDescent="0.25">
      <c r="A20" s="4" t="str">
        <f>$A$3&amp;"_PB_HH"</f>
        <v>BXX_WW01_LI1_PB_HH</v>
      </c>
      <c r="B20" s="4" t="str">
        <f t="shared" si="2"/>
        <v>BXX_WW01_LI1</v>
      </c>
      <c r="C20" s="4" t="str">
        <f>$C$3 &amp; " HIHI Alarm Enable"</f>
        <v>BXX Wet Well 1 Level HIHI Alarm Enable</v>
      </c>
      <c r="D20" s="2">
        <f t="shared" si="0"/>
        <v>38</v>
      </c>
      <c r="E20" t="s">
        <v>14</v>
      </c>
      <c r="F20" t="s">
        <v>13</v>
      </c>
      <c r="G20" s="5">
        <v>600</v>
      </c>
      <c r="H20" t="s">
        <v>13</v>
      </c>
      <c r="I20" t="s">
        <v>54</v>
      </c>
      <c r="J20" t="s">
        <v>60</v>
      </c>
      <c r="K20" t="s">
        <v>59</v>
      </c>
      <c r="L20" t="s">
        <v>56</v>
      </c>
      <c r="M20">
        <v>1</v>
      </c>
      <c r="N20" t="s">
        <v>57</v>
      </c>
      <c r="O20" s="4" t="str">
        <f t="shared" si="3"/>
        <v>BXX</v>
      </c>
      <c r="P20" t="s">
        <v>14</v>
      </c>
      <c r="Q20" s="4" t="str">
        <f>$A$3&amp;".PB_HH.RE"</f>
        <v>BXX_WW01_LI1.PB_HH.RE</v>
      </c>
      <c r="R20" t="s">
        <v>14</v>
      </c>
      <c r="S20" s="4" t="str">
        <f t="shared" si="1"/>
        <v>BXX Wet Well 1 Level HIHI Alarm Enable</v>
      </c>
      <c r="T20">
        <v>0</v>
      </c>
      <c r="U20">
        <v>0</v>
      </c>
    </row>
    <row r="21" spans="1:64" x14ac:dyDescent="0.25">
      <c r="A21" s="4" t="str">
        <f>$A$3&amp;"_PB_AR"</f>
        <v>BXX_WW01_LI1_PB_AR</v>
      </c>
      <c r="B21" s="4" t="str">
        <f t="shared" si="2"/>
        <v>BXX_WW01_LI1</v>
      </c>
      <c r="C21" s="4" t="str">
        <f>$C$3 &amp; " Alarm Reset"</f>
        <v>BXX Wet Well 1 Level Alarm Reset</v>
      </c>
      <c r="D21" s="2">
        <f t="shared" si="0"/>
        <v>32</v>
      </c>
      <c r="E21" t="s">
        <v>14</v>
      </c>
      <c r="F21" t="s">
        <v>13</v>
      </c>
      <c r="G21" s="5">
        <v>600</v>
      </c>
      <c r="H21" t="s">
        <v>13</v>
      </c>
      <c r="I21" t="s">
        <v>54</v>
      </c>
      <c r="J21" t="s">
        <v>54</v>
      </c>
      <c r="K21" t="s">
        <v>61</v>
      </c>
      <c r="L21" t="s">
        <v>56</v>
      </c>
      <c r="M21">
        <v>1</v>
      </c>
      <c r="N21" t="s">
        <v>57</v>
      </c>
      <c r="O21" s="4" t="str">
        <f t="shared" si="3"/>
        <v>BXX</v>
      </c>
      <c r="P21" t="s">
        <v>14</v>
      </c>
      <c r="Q21" s="4" t="str">
        <f>$A$3&amp;".PB_AR"</f>
        <v>BXX_WW01_LI1.PB_AR</v>
      </c>
      <c r="R21" t="s">
        <v>14</v>
      </c>
      <c r="S21" s="4" t="str">
        <f t="shared" si="1"/>
        <v>BXX Wet Well 1 Level Alarm Reset</v>
      </c>
      <c r="T21">
        <v>0</v>
      </c>
      <c r="U21">
        <v>0</v>
      </c>
    </row>
    <row r="22" spans="1:64" x14ac:dyDescent="0.25">
      <c r="A22" s="4" t="str">
        <f>$A$3&amp;"_DA_LO"</f>
        <v>BXX_WW01_LI1_DA_LO</v>
      </c>
      <c r="B22" s="4" t="str">
        <f t="shared" si="2"/>
        <v>BXX_WW01_LI1</v>
      </c>
      <c r="C22" s="4" t="str">
        <f>$C$3 &amp; " LO Alarm"</f>
        <v>BXX Wet Well 1 Level LO Alarm</v>
      </c>
      <c r="D22" s="2">
        <f t="shared" si="0"/>
        <v>29</v>
      </c>
      <c r="E22" t="s">
        <v>14</v>
      </c>
      <c r="F22" t="s">
        <v>14</v>
      </c>
      <c r="G22">
        <v>0</v>
      </c>
      <c r="H22" t="s">
        <v>13</v>
      </c>
      <c r="I22" t="s">
        <v>54</v>
      </c>
      <c r="J22" t="s">
        <v>68</v>
      </c>
      <c r="K22" t="s">
        <v>119</v>
      </c>
      <c r="L22" t="s">
        <v>61</v>
      </c>
      <c r="M22" s="5">
        <v>90</v>
      </c>
      <c r="N22" t="s">
        <v>57</v>
      </c>
      <c r="O22" s="4" t="str">
        <f t="shared" si="3"/>
        <v>BXX</v>
      </c>
      <c r="P22" t="s">
        <v>14</v>
      </c>
      <c r="Q22" s="4" t="str">
        <f>$A$3&amp;".DA_LO"</f>
        <v>BXX_WW01_LI1.DA_LO</v>
      </c>
      <c r="R22" t="s">
        <v>14</v>
      </c>
      <c r="S22" s="4" t="str">
        <f t="shared" si="1"/>
        <v>BXX Wet Well 1 Level LO Alarm</v>
      </c>
      <c r="T22">
        <v>0</v>
      </c>
      <c r="U22">
        <v>0</v>
      </c>
    </row>
    <row r="23" spans="1:64" x14ac:dyDescent="0.25">
      <c r="A23" s="4" t="str">
        <f>$A$3&amp;"_PB_LL_DE"</f>
        <v>BXX_WW01_LI1_PB_LL_DE</v>
      </c>
      <c r="B23" s="4" t="str">
        <f t="shared" si="2"/>
        <v>BXX_WW01_LI1</v>
      </c>
      <c r="C23" s="4" t="str">
        <f>$C$3 &amp; " LOLO Alarm Dialer Enable"</f>
        <v>BXX Wet Well 1 Level LOLO Alarm Dialer Enable</v>
      </c>
      <c r="D23" s="2">
        <f t="shared" si="0"/>
        <v>45</v>
      </c>
      <c r="E23" t="s">
        <v>14</v>
      </c>
      <c r="F23" t="s">
        <v>13</v>
      </c>
      <c r="G23" s="5">
        <v>600</v>
      </c>
      <c r="H23" t="s">
        <v>13</v>
      </c>
      <c r="I23" t="s">
        <v>54</v>
      </c>
      <c r="J23" t="s">
        <v>60</v>
      </c>
      <c r="K23" t="s">
        <v>59</v>
      </c>
      <c r="L23" t="s">
        <v>56</v>
      </c>
      <c r="M23">
        <v>1</v>
      </c>
      <c r="N23" t="s">
        <v>57</v>
      </c>
      <c r="O23" s="4" t="str">
        <f t="shared" si="3"/>
        <v>BXX</v>
      </c>
      <c r="P23" t="s">
        <v>14</v>
      </c>
      <c r="Q23" s="4" t="str">
        <f>$A$3&amp;".PB_LL.DE"</f>
        <v>BXX_WW01_LI1.PB_LL.DE</v>
      </c>
      <c r="R23" t="s">
        <v>14</v>
      </c>
      <c r="S23" s="4" t="str">
        <f t="shared" si="1"/>
        <v>BXX Wet Well 1 Level LOLO Alarm Dialer Enable</v>
      </c>
      <c r="T23">
        <v>0</v>
      </c>
      <c r="U23">
        <v>0</v>
      </c>
    </row>
    <row r="24" spans="1:64" x14ac:dyDescent="0.25">
      <c r="A24" s="4" t="str">
        <f>$A$3&amp;"_PB_ER_DE"</f>
        <v>BXX_WW01_LI1_PB_ER_DE</v>
      </c>
      <c r="B24" s="4" t="str">
        <f t="shared" si="2"/>
        <v>BXX_WW01_LI1</v>
      </c>
      <c r="C24" s="4" t="str">
        <f>$C$3 &amp; " Sig Error Dialer En"</f>
        <v>BXX Wet Well 1 Level Sig Error Dialer En</v>
      </c>
      <c r="D24" s="2">
        <f t="shared" si="0"/>
        <v>40</v>
      </c>
      <c r="E24" t="s">
        <v>14</v>
      </c>
      <c r="F24" t="s">
        <v>13</v>
      </c>
      <c r="G24" s="5">
        <v>600</v>
      </c>
      <c r="H24" t="s">
        <v>13</v>
      </c>
      <c r="I24" t="s">
        <v>54</v>
      </c>
      <c r="J24" t="s">
        <v>60</v>
      </c>
      <c r="K24" t="s">
        <v>59</v>
      </c>
      <c r="L24" t="s">
        <v>56</v>
      </c>
      <c r="M24">
        <v>1</v>
      </c>
      <c r="N24" t="s">
        <v>57</v>
      </c>
      <c r="O24" s="4" t="str">
        <f t="shared" si="3"/>
        <v>BXX</v>
      </c>
      <c r="P24" t="s">
        <v>14</v>
      </c>
      <c r="Q24" s="4" t="str">
        <f>$A$3&amp;".PB_ER.DE"</f>
        <v>BXX_WW01_LI1.PB_ER.DE</v>
      </c>
      <c r="R24" t="s">
        <v>14</v>
      </c>
      <c r="S24" s="4" t="str">
        <f t="shared" si="1"/>
        <v>BXX Wet Well 1 Level Sig Error Dialer En</v>
      </c>
      <c r="T24">
        <v>0</v>
      </c>
      <c r="U24">
        <v>0</v>
      </c>
    </row>
    <row r="25" spans="1:64" x14ac:dyDescent="0.25">
      <c r="A25" s="4" t="str">
        <f>$A$3&amp;"_PB_HH_DE"</f>
        <v>BXX_WW01_LI1_PB_HH_DE</v>
      </c>
      <c r="B25" s="4" t="str">
        <f t="shared" si="2"/>
        <v>BXX_WW01_LI1</v>
      </c>
      <c r="C25" s="4" t="str">
        <f>$C$3 &amp; " HIHI Alarm Dialer Enable"</f>
        <v>BXX Wet Well 1 Level HIHI Alarm Dialer Enable</v>
      </c>
      <c r="D25" s="2">
        <f t="shared" si="0"/>
        <v>45</v>
      </c>
      <c r="E25" t="s">
        <v>14</v>
      </c>
      <c r="F25" t="s">
        <v>13</v>
      </c>
      <c r="G25" s="5">
        <v>600</v>
      </c>
      <c r="H25" t="s">
        <v>13</v>
      </c>
      <c r="I25" t="s">
        <v>54</v>
      </c>
      <c r="J25" t="s">
        <v>60</v>
      </c>
      <c r="K25" t="s">
        <v>59</v>
      </c>
      <c r="L25" t="s">
        <v>56</v>
      </c>
      <c r="M25">
        <v>1</v>
      </c>
      <c r="N25" t="s">
        <v>57</v>
      </c>
      <c r="O25" s="4" t="str">
        <f t="shared" si="3"/>
        <v>BXX</v>
      </c>
      <c r="P25" t="s">
        <v>14</v>
      </c>
      <c r="Q25" s="4" t="str">
        <f>$A$3&amp;".PB_HH.DE"</f>
        <v>BXX_WW01_LI1.PB_HH.DE</v>
      </c>
      <c r="R25" t="s">
        <v>14</v>
      </c>
      <c r="S25" s="4" t="str">
        <f t="shared" si="1"/>
        <v>BXX Wet Well 1 Level HIHI Alarm Dialer Enable</v>
      </c>
      <c r="T25">
        <v>0</v>
      </c>
      <c r="U25">
        <v>0</v>
      </c>
    </row>
    <row r="26" spans="1:64" x14ac:dyDescent="0.25">
      <c r="A26" s="4" t="str">
        <f>$A$3&amp;"_PB_LL_SR"</f>
        <v>BXX_WW01_LI1_PB_LL_SR</v>
      </c>
      <c r="B26" s="4" t="str">
        <f t="shared" si="2"/>
        <v>BXX_WW01_LI1</v>
      </c>
      <c r="C26" s="4" t="str">
        <f>$C$3 &amp; " LOLO Alarm Sup Enable"</f>
        <v>BXX Wet Well 1 Level LOLO Alarm Sup Enable</v>
      </c>
      <c r="D26" s="2">
        <f t="shared" si="0"/>
        <v>42</v>
      </c>
      <c r="E26" t="s">
        <v>14</v>
      </c>
      <c r="F26" t="s">
        <v>13</v>
      </c>
      <c r="G26" s="5">
        <v>600</v>
      </c>
      <c r="H26" t="s">
        <v>13</v>
      </c>
      <c r="I26" t="s">
        <v>54</v>
      </c>
      <c r="J26" t="s">
        <v>60</v>
      </c>
      <c r="K26" t="s">
        <v>59</v>
      </c>
      <c r="L26" t="s">
        <v>56</v>
      </c>
      <c r="M26">
        <v>1</v>
      </c>
      <c r="N26" t="s">
        <v>57</v>
      </c>
      <c r="O26" s="4" t="str">
        <f t="shared" si="3"/>
        <v>BXX</v>
      </c>
      <c r="P26" t="s">
        <v>14</v>
      </c>
      <c r="Q26" s="4" t="str">
        <f>$A$3&amp;".PB_LL.SR"</f>
        <v>BXX_WW01_LI1.PB_LL.SR</v>
      </c>
      <c r="R26" t="s">
        <v>14</v>
      </c>
      <c r="S26" s="4" t="str">
        <f t="shared" si="1"/>
        <v>BXX Wet Well 1 Level LOLO Alarm Sup Enable</v>
      </c>
      <c r="T26">
        <v>0</v>
      </c>
      <c r="U26">
        <v>0</v>
      </c>
    </row>
    <row r="27" spans="1:64" x14ac:dyDescent="0.25">
      <c r="A27" s="4" t="str">
        <f>$A$3&amp;"_PB_ER_SR"</f>
        <v>BXX_WW01_LI1_PB_ER_SR</v>
      </c>
      <c r="B27" s="4" t="str">
        <f t="shared" si="2"/>
        <v>BXX_WW01_LI1</v>
      </c>
      <c r="C27" s="4" t="str">
        <f>$C$3 &amp; " Signal Error Sup En"</f>
        <v>BXX Wet Well 1 Level Signal Error Sup En</v>
      </c>
      <c r="D27" s="2">
        <f t="shared" si="0"/>
        <v>40</v>
      </c>
      <c r="E27" t="s">
        <v>14</v>
      </c>
      <c r="F27" t="s">
        <v>13</v>
      </c>
      <c r="G27" s="5">
        <v>600</v>
      </c>
      <c r="H27" t="s">
        <v>13</v>
      </c>
      <c r="I27" t="s">
        <v>54</v>
      </c>
      <c r="J27" t="s">
        <v>60</v>
      </c>
      <c r="K27" t="s">
        <v>59</v>
      </c>
      <c r="L27" t="s">
        <v>56</v>
      </c>
      <c r="M27">
        <v>1</v>
      </c>
      <c r="N27" t="s">
        <v>57</v>
      </c>
      <c r="O27" s="4" t="str">
        <f t="shared" si="3"/>
        <v>BXX</v>
      </c>
      <c r="P27" t="s">
        <v>14</v>
      </c>
      <c r="Q27" s="4" t="str">
        <f>$A$3&amp;".PB_ER.SR"</f>
        <v>BXX_WW01_LI1.PB_ER.SR</v>
      </c>
      <c r="R27" t="s">
        <v>14</v>
      </c>
      <c r="S27" s="4" t="str">
        <f t="shared" si="1"/>
        <v>BXX Wet Well 1 Level Signal Error Sup En</v>
      </c>
      <c r="T27">
        <v>0</v>
      </c>
      <c r="U27">
        <v>0</v>
      </c>
    </row>
    <row r="28" spans="1:64" x14ac:dyDescent="0.25">
      <c r="A28" s="4" t="str">
        <f>$A$3&amp;"_PB_HH_SR"</f>
        <v>BXX_WW01_LI1_PB_HH_SR</v>
      </c>
      <c r="B28" s="4" t="str">
        <f t="shared" si="2"/>
        <v>BXX_WW01_LI1</v>
      </c>
      <c r="C28" s="4" t="str">
        <f>$C$3 &amp; " HIHI Alarm Sup Enable"</f>
        <v>BXX Wet Well 1 Level HIHI Alarm Sup Enable</v>
      </c>
      <c r="D28" s="2">
        <f t="shared" si="0"/>
        <v>42</v>
      </c>
      <c r="E28" t="s">
        <v>14</v>
      </c>
      <c r="F28" t="s">
        <v>13</v>
      </c>
      <c r="G28" s="5">
        <v>600</v>
      </c>
      <c r="H28" t="s">
        <v>13</v>
      </c>
      <c r="I28" t="s">
        <v>54</v>
      </c>
      <c r="J28" t="s">
        <v>60</v>
      </c>
      <c r="K28" t="s">
        <v>59</v>
      </c>
      <c r="L28" t="s">
        <v>56</v>
      </c>
      <c r="M28">
        <v>1</v>
      </c>
      <c r="N28" t="s">
        <v>57</v>
      </c>
      <c r="O28" s="4" t="str">
        <f t="shared" si="3"/>
        <v>BXX</v>
      </c>
      <c r="P28" t="s">
        <v>14</v>
      </c>
      <c r="Q28" s="4" t="str">
        <f>$A$3&amp;".PB_HH.SR"</f>
        <v>BXX_WW01_LI1.PB_HH.SR</v>
      </c>
      <c r="R28" t="s">
        <v>14</v>
      </c>
      <c r="S28" s="4" t="str">
        <f t="shared" si="1"/>
        <v>BXX Wet Well 1 Level HIHI Alarm Sup Enable</v>
      </c>
      <c r="T28">
        <v>0</v>
      </c>
      <c r="U28">
        <v>0</v>
      </c>
    </row>
    <row r="29" spans="1:64" x14ac:dyDescent="0.25">
      <c r="A29" t="s">
        <v>120</v>
      </c>
      <c r="B29" t="s">
        <v>16</v>
      </c>
      <c r="C29" t="s">
        <v>17</v>
      </c>
      <c r="E29" t="s">
        <v>39</v>
      </c>
      <c r="F29" t="s">
        <v>18</v>
      </c>
      <c r="G29" t="s">
        <v>19</v>
      </c>
      <c r="H29" t="s">
        <v>40</v>
      </c>
      <c r="I29" t="s">
        <v>71</v>
      </c>
      <c r="J29" t="s">
        <v>72</v>
      </c>
      <c r="K29" t="s">
        <v>73</v>
      </c>
      <c r="L29" t="s">
        <v>74</v>
      </c>
      <c r="M29" t="s">
        <v>75</v>
      </c>
      <c r="N29" t="s">
        <v>76</v>
      </c>
      <c r="O29" t="s">
        <v>77</v>
      </c>
      <c r="P29" t="s">
        <v>78</v>
      </c>
      <c r="Q29" t="s">
        <v>79</v>
      </c>
      <c r="R29" t="s">
        <v>80</v>
      </c>
      <c r="S29" t="s">
        <v>81</v>
      </c>
      <c r="T29" t="s">
        <v>82</v>
      </c>
      <c r="U29" t="s">
        <v>83</v>
      </c>
      <c r="V29" t="s">
        <v>84</v>
      </c>
      <c r="W29" t="s">
        <v>85</v>
      </c>
      <c r="X29" t="s">
        <v>86</v>
      </c>
      <c r="Y29" t="s">
        <v>87</v>
      </c>
      <c r="Z29" t="s">
        <v>88</v>
      </c>
      <c r="AA29" t="s">
        <v>89</v>
      </c>
      <c r="AB29" t="s">
        <v>90</v>
      </c>
      <c r="AC29" t="s">
        <v>91</v>
      </c>
      <c r="AD29" t="s">
        <v>92</v>
      </c>
      <c r="AE29" t="s">
        <v>93</v>
      </c>
      <c r="AF29" t="s">
        <v>94</v>
      </c>
      <c r="AG29" t="s">
        <v>95</v>
      </c>
      <c r="AH29" t="s">
        <v>96</v>
      </c>
      <c r="AI29" t="s">
        <v>97</v>
      </c>
      <c r="AJ29" t="s">
        <v>98</v>
      </c>
      <c r="AK29" t="s">
        <v>99</v>
      </c>
      <c r="AL29" t="s">
        <v>100</v>
      </c>
      <c r="AM29" t="s">
        <v>101</v>
      </c>
      <c r="AN29" t="s">
        <v>102</v>
      </c>
      <c r="AO29" t="s">
        <v>103</v>
      </c>
      <c r="AP29" t="s">
        <v>104</v>
      </c>
      <c r="AQ29" t="s">
        <v>105</v>
      </c>
      <c r="AR29" t="s">
        <v>47</v>
      </c>
      <c r="AS29" t="s">
        <v>48</v>
      </c>
      <c r="AT29" t="s">
        <v>49</v>
      </c>
      <c r="AU29" t="s">
        <v>50</v>
      </c>
      <c r="AV29" t="s">
        <v>51</v>
      </c>
      <c r="AW29" t="s">
        <v>52</v>
      </c>
      <c r="AX29" t="s">
        <v>20</v>
      </c>
      <c r="AY29" t="s">
        <v>21</v>
      </c>
      <c r="AZ29" t="s">
        <v>22</v>
      </c>
      <c r="BA29" t="s">
        <v>23</v>
      </c>
      <c r="BB29" t="s">
        <v>24</v>
      </c>
      <c r="BC29" t="s">
        <v>25</v>
      </c>
      <c r="BD29" t="s">
        <v>26</v>
      </c>
      <c r="BE29" t="s">
        <v>28</v>
      </c>
      <c r="BF29" t="s">
        <v>29</v>
      </c>
      <c r="BG29" t="s">
        <v>30</v>
      </c>
      <c r="BH29" t="s">
        <v>31</v>
      </c>
      <c r="BI29" t="s">
        <v>32</v>
      </c>
      <c r="BJ29" t="s">
        <v>33</v>
      </c>
      <c r="BK29" t="s">
        <v>34</v>
      </c>
      <c r="BL29" t="s">
        <v>53</v>
      </c>
    </row>
    <row r="30" spans="1:64" x14ac:dyDescent="0.25">
      <c r="A30" s="4" t="str">
        <f>$A$3&amp;"_AI_VI"</f>
        <v>BXX_WW01_LI1_AI_VI</v>
      </c>
      <c r="B30" s="4" t="str">
        <f t="shared" ref="B30:B32" si="4">$A$3</f>
        <v>BXX_WW01_LI1</v>
      </c>
      <c r="C30" s="4" t="str">
        <f>$C$3 &amp; " Number of Vis Eng Values"</f>
        <v>BXX Wet Well 1 Level Number of Vis Eng Values</v>
      </c>
      <c r="D30" s="2">
        <f t="shared" ref="D30:D32" si="5">LEN(C30)</f>
        <v>45</v>
      </c>
      <c r="E30" t="s">
        <v>14</v>
      </c>
      <c r="F30" t="s">
        <v>13</v>
      </c>
      <c r="G30" s="5">
        <v>700</v>
      </c>
      <c r="H30" t="s">
        <v>13</v>
      </c>
      <c r="I30" t="s">
        <v>14</v>
      </c>
      <c r="J30">
        <v>0</v>
      </c>
      <c r="K30">
        <v>0</v>
      </c>
      <c r="M30" s="4">
        <f>N30</f>
        <v>1</v>
      </c>
      <c r="N30">
        <v>1</v>
      </c>
      <c r="O30">
        <v>3</v>
      </c>
      <c r="P30">
        <v>0</v>
      </c>
      <c r="Q30">
        <v>0</v>
      </c>
      <c r="R30" t="s">
        <v>54</v>
      </c>
      <c r="S30">
        <v>0</v>
      </c>
      <c r="T30">
        <v>1</v>
      </c>
      <c r="U30" t="s">
        <v>54</v>
      </c>
      <c r="V30">
        <v>0</v>
      </c>
      <c r="W30">
        <v>1</v>
      </c>
      <c r="X30" t="s">
        <v>54</v>
      </c>
      <c r="Y30">
        <v>0</v>
      </c>
      <c r="Z30">
        <v>1</v>
      </c>
      <c r="AA30" t="s">
        <v>54</v>
      </c>
      <c r="AB30">
        <v>0</v>
      </c>
      <c r="AC30">
        <v>1</v>
      </c>
      <c r="AD30" t="s">
        <v>54</v>
      </c>
      <c r="AE30">
        <v>0</v>
      </c>
      <c r="AF30">
        <v>1</v>
      </c>
      <c r="AG30" t="s">
        <v>54</v>
      </c>
      <c r="AH30">
        <v>0</v>
      </c>
      <c r="AI30">
        <v>1</v>
      </c>
      <c r="AJ30">
        <v>0</v>
      </c>
      <c r="AK30" t="s">
        <v>54</v>
      </c>
      <c r="AL30">
        <v>0</v>
      </c>
      <c r="AM30">
        <v>1</v>
      </c>
      <c r="AN30" t="s">
        <v>107</v>
      </c>
      <c r="AO30" s="4">
        <f>N30</f>
        <v>1</v>
      </c>
      <c r="AP30" s="4">
        <f>O30</f>
        <v>3</v>
      </c>
      <c r="AQ30" t="s">
        <v>108</v>
      </c>
      <c r="AR30" s="4" t="str">
        <f>$O$6</f>
        <v>BXX</v>
      </c>
      <c r="AS30" t="s">
        <v>14</v>
      </c>
      <c r="AT30" s="4" t="str">
        <f>$A$3&amp;".AI_VI"</f>
        <v>BXX_WW01_LI1.AI_VI</v>
      </c>
      <c r="AU30" t="s">
        <v>14</v>
      </c>
      <c r="AV30" s="4" t="str">
        <f>C30</f>
        <v>BXX Wet Well 1 Level Number of Vis Eng Values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4" t="str">
        <f>$A$3&amp;"_AI_DC"</f>
        <v>BXX_WW01_LI1_AI_DC</v>
      </c>
      <c r="B31" s="4" t="str">
        <f t="shared" si="4"/>
        <v>BXX_WW01_LI1</v>
      </c>
      <c r="C31" s="4" t="str">
        <f>$C$3 &amp; " Precision"</f>
        <v>BXX Wet Well 1 Level Precision</v>
      </c>
      <c r="D31" s="2">
        <f t="shared" si="5"/>
        <v>30</v>
      </c>
      <c r="E31" t="s">
        <v>14</v>
      </c>
      <c r="F31" t="s">
        <v>13</v>
      </c>
      <c r="G31" s="5">
        <v>700</v>
      </c>
      <c r="H31" t="s">
        <v>13</v>
      </c>
      <c r="I31" t="s">
        <v>14</v>
      </c>
      <c r="J31">
        <v>0</v>
      </c>
      <c r="K31">
        <v>0</v>
      </c>
      <c r="M31" s="4">
        <f t="shared" ref="M31:M32" si="6">N31</f>
        <v>0</v>
      </c>
      <c r="N31">
        <v>0</v>
      </c>
      <c r="O31">
        <v>3</v>
      </c>
      <c r="P31">
        <v>0</v>
      </c>
      <c r="Q31">
        <v>0</v>
      </c>
      <c r="R31" t="s">
        <v>54</v>
      </c>
      <c r="S31">
        <v>0</v>
      </c>
      <c r="T31">
        <v>1</v>
      </c>
      <c r="U31" t="s">
        <v>54</v>
      </c>
      <c r="V31">
        <v>0</v>
      </c>
      <c r="W31">
        <v>1</v>
      </c>
      <c r="X31" t="s">
        <v>54</v>
      </c>
      <c r="Y31">
        <v>0</v>
      </c>
      <c r="Z31">
        <v>1</v>
      </c>
      <c r="AA31" t="s">
        <v>54</v>
      </c>
      <c r="AB31">
        <v>0</v>
      </c>
      <c r="AC31">
        <v>1</v>
      </c>
      <c r="AD31" t="s">
        <v>54</v>
      </c>
      <c r="AE31">
        <v>0</v>
      </c>
      <c r="AF31">
        <v>1</v>
      </c>
      <c r="AG31" t="s">
        <v>54</v>
      </c>
      <c r="AH31">
        <v>0</v>
      </c>
      <c r="AI31">
        <v>1</v>
      </c>
      <c r="AJ31">
        <v>0</v>
      </c>
      <c r="AK31" t="s">
        <v>54</v>
      </c>
      <c r="AL31">
        <v>0</v>
      </c>
      <c r="AM31">
        <v>1</v>
      </c>
      <c r="AN31" t="s">
        <v>107</v>
      </c>
      <c r="AO31" s="4">
        <f t="shared" ref="AO31:AP32" si="7">N31</f>
        <v>0</v>
      </c>
      <c r="AP31" s="4">
        <f t="shared" si="7"/>
        <v>3</v>
      </c>
      <c r="AQ31" t="s">
        <v>108</v>
      </c>
      <c r="AR31" s="4" t="str">
        <f t="shared" ref="AR31:AR32" si="8">$O$6</f>
        <v>BXX</v>
      </c>
      <c r="AS31" t="s">
        <v>14</v>
      </c>
      <c r="AT31" s="4" t="str">
        <f>$A$3&amp;".AI_DC"</f>
        <v>BXX_WW01_LI1.AI_DC</v>
      </c>
      <c r="AU31" t="s">
        <v>14</v>
      </c>
      <c r="AV31" s="4" t="str">
        <f t="shared" ref="AV31:AV32" si="9">C31</f>
        <v>BXX Wet Well 1 Level Precision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8" t="str">
        <f>$A$3&amp;"_E2_DC"</f>
        <v>BXX_WW01_LI1_E2_DC</v>
      </c>
      <c r="B32" s="4" t="str">
        <f t="shared" si="4"/>
        <v>BXX_WW01_LI1</v>
      </c>
      <c r="C32" s="4" t="str">
        <f>$C$3 &amp; " Eng Value 2 Precision"</f>
        <v>BXX Wet Well 1 Level Eng Value 2 Precision</v>
      </c>
      <c r="D32" s="2">
        <f t="shared" si="5"/>
        <v>42</v>
      </c>
      <c r="E32" t="s">
        <v>14</v>
      </c>
      <c r="F32" t="s">
        <v>13</v>
      </c>
      <c r="G32" s="5">
        <v>700</v>
      </c>
      <c r="H32" t="s">
        <v>13</v>
      </c>
      <c r="I32" t="s">
        <v>14</v>
      </c>
      <c r="J32">
        <v>0</v>
      </c>
      <c r="K32">
        <v>0</v>
      </c>
      <c r="M32" s="4">
        <f t="shared" si="6"/>
        <v>0</v>
      </c>
      <c r="N32">
        <v>0</v>
      </c>
      <c r="O32">
        <v>3</v>
      </c>
      <c r="P32">
        <v>0</v>
      </c>
      <c r="Q32">
        <v>0</v>
      </c>
      <c r="R32" t="s">
        <v>54</v>
      </c>
      <c r="S32">
        <v>0</v>
      </c>
      <c r="T32">
        <v>1</v>
      </c>
      <c r="U32" t="s">
        <v>54</v>
      </c>
      <c r="V32">
        <v>0</v>
      </c>
      <c r="W32">
        <v>1</v>
      </c>
      <c r="X32" t="s">
        <v>54</v>
      </c>
      <c r="Y32">
        <v>0</v>
      </c>
      <c r="Z32">
        <v>1</v>
      </c>
      <c r="AA32" t="s">
        <v>54</v>
      </c>
      <c r="AB32">
        <v>0</v>
      </c>
      <c r="AC32">
        <v>1</v>
      </c>
      <c r="AD32" t="s">
        <v>54</v>
      </c>
      <c r="AE32">
        <v>0</v>
      </c>
      <c r="AF32">
        <v>1</v>
      </c>
      <c r="AG32" t="s">
        <v>54</v>
      </c>
      <c r="AH32">
        <v>0</v>
      </c>
      <c r="AI32">
        <v>1</v>
      </c>
      <c r="AJ32">
        <v>0</v>
      </c>
      <c r="AK32" t="s">
        <v>54</v>
      </c>
      <c r="AL32">
        <v>0</v>
      </c>
      <c r="AM32">
        <v>1</v>
      </c>
      <c r="AN32" t="s">
        <v>107</v>
      </c>
      <c r="AO32" s="4">
        <f t="shared" si="7"/>
        <v>0</v>
      </c>
      <c r="AP32" s="4">
        <f t="shared" si="7"/>
        <v>3</v>
      </c>
      <c r="AQ32" t="s">
        <v>108</v>
      </c>
      <c r="AR32" s="4" t="str">
        <f t="shared" si="8"/>
        <v>BXX</v>
      </c>
      <c r="AS32" t="s">
        <v>14</v>
      </c>
      <c r="AT32" s="4" t="str">
        <f>$A$3&amp;".E2_DC"</f>
        <v>BXX_WW01_LI1.E2_DC</v>
      </c>
      <c r="AU32" t="s">
        <v>14</v>
      </c>
      <c r="AV32" s="4" t="str">
        <f t="shared" si="9"/>
        <v>BXX Wet Well 1 Level Eng Value 2 Precision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t="s">
        <v>70</v>
      </c>
      <c r="B33" t="s">
        <v>16</v>
      </c>
      <c r="C33" t="s">
        <v>17</v>
      </c>
      <c r="E33" t="s">
        <v>39</v>
      </c>
      <c r="F33" t="s">
        <v>18</v>
      </c>
      <c r="G33" t="s">
        <v>19</v>
      </c>
      <c r="H33" t="s">
        <v>40</v>
      </c>
      <c r="I33" t="s">
        <v>71</v>
      </c>
      <c r="J33" t="s">
        <v>72</v>
      </c>
      <c r="K33" t="s">
        <v>73</v>
      </c>
      <c r="L33" t="s">
        <v>74</v>
      </c>
      <c r="M33" t="s">
        <v>75</v>
      </c>
      <c r="N33" t="s">
        <v>76</v>
      </c>
      <c r="O33" t="s">
        <v>77</v>
      </c>
      <c r="P33" t="s">
        <v>78</v>
      </c>
      <c r="Q33" t="s">
        <v>79</v>
      </c>
      <c r="R33" t="s">
        <v>80</v>
      </c>
      <c r="S33" t="s">
        <v>81</v>
      </c>
      <c r="T33" t="s">
        <v>82</v>
      </c>
      <c r="U33" t="s">
        <v>83</v>
      </c>
      <c r="V33" t="s">
        <v>84</v>
      </c>
      <c r="W33" t="s">
        <v>85</v>
      </c>
      <c r="X33" t="s">
        <v>86</v>
      </c>
      <c r="Y33" t="s">
        <v>87</v>
      </c>
      <c r="Z33" t="s">
        <v>88</v>
      </c>
      <c r="AA33" t="s">
        <v>89</v>
      </c>
      <c r="AB33" t="s">
        <v>90</v>
      </c>
      <c r="AC33" t="s">
        <v>91</v>
      </c>
      <c r="AD33" t="s">
        <v>92</v>
      </c>
      <c r="AE33" t="s">
        <v>93</v>
      </c>
      <c r="AF33" t="s">
        <v>94</v>
      </c>
      <c r="AG33" t="s">
        <v>95</v>
      </c>
      <c r="AH33" t="s">
        <v>96</v>
      </c>
      <c r="AI33" t="s">
        <v>97</v>
      </c>
      <c r="AJ33" t="s">
        <v>98</v>
      </c>
      <c r="AK33" t="s">
        <v>99</v>
      </c>
      <c r="AL33" t="s">
        <v>100</v>
      </c>
      <c r="AM33" t="s">
        <v>101</v>
      </c>
      <c r="AN33" t="s">
        <v>102</v>
      </c>
      <c r="AO33" t="s">
        <v>103</v>
      </c>
      <c r="AP33" t="s">
        <v>104</v>
      </c>
      <c r="AQ33" t="s">
        <v>105</v>
      </c>
      <c r="AR33" t="s">
        <v>47</v>
      </c>
      <c r="AS33" t="s">
        <v>48</v>
      </c>
      <c r="AT33" t="s">
        <v>49</v>
      </c>
      <c r="AU33" t="s">
        <v>50</v>
      </c>
      <c r="AV33" t="s">
        <v>51</v>
      </c>
      <c r="AW33" t="s">
        <v>52</v>
      </c>
      <c r="AX33" t="s">
        <v>20</v>
      </c>
      <c r="AY33" t="s">
        <v>21</v>
      </c>
      <c r="AZ33" t="s">
        <v>22</v>
      </c>
      <c r="BA33" t="s">
        <v>23</v>
      </c>
      <c r="BB33" t="s">
        <v>24</v>
      </c>
      <c r="BC33" t="s">
        <v>25</v>
      </c>
      <c r="BD33" t="s">
        <v>26</v>
      </c>
      <c r="BE33" t="s">
        <v>28</v>
      </c>
      <c r="BF33" t="s">
        <v>29</v>
      </c>
      <c r="BG33" t="s">
        <v>30</v>
      </c>
      <c r="BH33" t="s">
        <v>31</v>
      </c>
      <c r="BI33" t="s">
        <v>32</v>
      </c>
      <c r="BJ33" t="s">
        <v>33</v>
      </c>
      <c r="BK33" t="s">
        <v>34</v>
      </c>
      <c r="BL33" t="s">
        <v>53</v>
      </c>
    </row>
    <row r="34" spans="1:64" x14ac:dyDescent="0.25">
      <c r="A34" s="4" t="str">
        <f>$A$3&amp;"_SN_LL"</f>
        <v>BXX_WW01_LI1_SN_LL</v>
      </c>
      <c r="B34" s="4" t="str">
        <f t="shared" ref="B34:C48" si="10">$A$3</f>
        <v>BXX_WW01_LI1</v>
      </c>
      <c r="C34" s="4" t="str">
        <f>$C$3 &amp; " LOLO Alarm Delay"</f>
        <v>BXX Wet Well 1 Level LOLO Alarm Delay</v>
      </c>
      <c r="D34" s="2">
        <f t="shared" ref="D34:D90" si="11">LEN(C34)</f>
        <v>37</v>
      </c>
      <c r="E34" t="s">
        <v>14</v>
      </c>
      <c r="F34" t="s">
        <v>13</v>
      </c>
      <c r="G34" s="5">
        <v>900</v>
      </c>
      <c r="H34" t="s">
        <v>13</v>
      </c>
      <c r="I34" t="s">
        <v>14</v>
      </c>
      <c r="J34">
        <v>0</v>
      </c>
      <c r="K34">
        <v>0</v>
      </c>
      <c r="L34" t="s">
        <v>109</v>
      </c>
      <c r="M34" s="4">
        <f>N34</f>
        <v>0</v>
      </c>
      <c r="N34">
        <v>0</v>
      </c>
      <c r="O34">
        <v>999</v>
      </c>
      <c r="P34">
        <v>0</v>
      </c>
      <c r="Q34">
        <v>0</v>
      </c>
      <c r="R34" t="s">
        <v>54</v>
      </c>
      <c r="S34">
        <v>0</v>
      </c>
      <c r="T34">
        <v>1</v>
      </c>
      <c r="U34" t="s">
        <v>54</v>
      </c>
      <c r="V34">
        <v>0</v>
      </c>
      <c r="W34">
        <v>1</v>
      </c>
      <c r="X34" t="s">
        <v>54</v>
      </c>
      <c r="Y34">
        <v>0</v>
      </c>
      <c r="Z34">
        <v>1</v>
      </c>
      <c r="AA34" t="s">
        <v>54</v>
      </c>
      <c r="AB34">
        <v>0</v>
      </c>
      <c r="AC34">
        <v>1</v>
      </c>
      <c r="AD34" t="s">
        <v>54</v>
      </c>
      <c r="AE34">
        <v>0</v>
      </c>
      <c r="AF34">
        <v>1</v>
      </c>
      <c r="AG34" t="s">
        <v>54</v>
      </c>
      <c r="AH34">
        <v>0</v>
      </c>
      <c r="AI34">
        <v>1</v>
      </c>
      <c r="AJ34">
        <v>0</v>
      </c>
      <c r="AK34" t="s">
        <v>54</v>
      </c>
      <c r="AL34">
        <v>0</v>
      </c>
      <c r="AM34">
        <v>1</v>
      </c>
      <c r="AN34" t="s">
        <v>107</v>
      </c>
      <c r="AO34" s="4">
        <f>N34</f>
        <v>0</v>
      </c>
      <c r="AP34" s="4">
        <f>O34</f>
        <v>999</v>
      </c>
      <c r="AQ34" t="s">
        <v>108</v>
      </c>
      <c r="AR34" s="4" t="str">
        <f>$O$6</f>
        <v>BXX</v>
      </c>
      <c r="AS34" t="s">
        <v>14</v>
      </c>
      <c r="AT34" s="4" t="str">
        <f>$A$3&amp;".SN_LL"</f>
        <v>BXX_WW01_LI1.SN_LL</v>
      </c>
      <c r="AU34" t="s">
        <v>14</v>
      </c>
      <c r="AV34" s="4" t="str">
        <f>C34</f>
        <v>BXX Wet Well 1 Level LOLO Alarm Delay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4" t="str">
        <f>$A$3&amp;"_SN_HI"</f>
        <v>BXX_WW01_LI1_SN_HI</v>
      </c>
      <c r="B35" s="4" t="str">
        <f t="shared" si="10"/>
        <v>BXX_WW01_LI1</v>
      </c>
      <c r="C35" s="4" t="str">
        <f>$C$3 &amp; " High Alarm Delay"</f>
        <v>BXX Wet Well 1 Level High Alarm Delay</v>
      </c>
      <c r="D35" s="2">
        <f t="shared" si="11"/>
        <v>37</v>
      </c>
      <c r="E35" t="s">
        <v>14</v>
      </c>
      <c r="F35" t="s">
        <v>13</v>
      </c>
      <c r="G35" s="5">
        <v>900</v>
      </c>
      <c r="H35" t="s">
        <v>13</v>
      </c>
      <c r="I35" t="s">
        <v>14</v>
      </c>
      <c r="J35">
        <v>0</v>
      </c>
      <c r="K35">
        <v>0</v>
      </c>
      <c r="L35" t="s">
        <v>109</v>
      </c>
      <c r="M35" s="4">
        <f t="shared" ref="M35:M46" si="12">N35</f>
        <v>0</v>
      </c>
      <c r="N35">
        <v>0</v>
      </c>
      <c r="O35">
        <v>999</v>
      </c>
      <c r="P35">
        <v>0</v>
      </c>
      <c r="Q35">
        <v>0</v>
      </c>
      <c r="R35" t="s">
        <v>54</v>
      </c>
      <c r="S35">
        <v>0</v>
      </c>
      <c r="T35">
        <v>1</v>
      </c>
      <c r="U35" t="s">
        <v>54</v>
      </c>
      <c r="V35">
        <v>0</v>
      </c>
      <c r="W35">
        <v>1</v>
      </c>
      <c r="X35" t="s">
        <v>54</v>
      </c>
      <c r="Y35">
        <v>0</v>
      </c>
      <c r="Z35">
        <v>1</v>
      </c>
      <c r="AA35" t="s">
        <v>54</v>
      </c>
      <c r="AB35">
        <v>0</v>
      </c>
      <c r="AC35">
        <v>1</v>
      </c>
      <c r="AD35" t="s">
        <v>54</v>
      </c>
      <c r="AE35">
        <v>0</v>
      </c>
      <c r="AF35">
        <v>1</v>
      </c>
      <c r="AG35" t="s">
        <v>54</v>
      </c>
      <c r="AH35">
        <v>0</v>
      </c>
      <c r="AI35">
        <v>1</v>
      </c>
      <c r="AJ35">
        <v>0</v>
      </c>
      <c r="AK35" t="s">
        <v>54</v>
      </c>
      <c r="AL35">
        <v>0</v>
      </c>
      <c r="AM35">
        <v>1</v>
      </c>
      <c r="AN35" t="s">
        <v>107</v>
      </c>
      <c r="AO35" s="4">
        <f t="shared" ref="AO35:AP46" si="13">N35</f>
        <v>0</v>
      </c>
      <c r="AP35" s="4">
        <f t="shared" si="13"/>
        <v>999</v>
      </c>
      <c r="AQ35" t="s">
        <v>108</v>
      </c>
      <c r="AR35" s="4" t="str">
        <f t="shared" ref="AR35:AR46" si="14">$O$6</f>
        <v>BXX</v>
      </c>
      <c r="AS35" t="s">
        <v>14</v>
      </c>
      <c r="AT35" s="4" t="str">
        <f>$A$3&amp;".SN_HI"</f>
        <v>BXX_WW01_LI1.SN_HI</v>
      </c>
      <c r="AU35" t="s">
        <v>14</v>
      </c>
      <c r="AV35" s="4" t="str">
        <f t="shared" ref="AV35:AV46" si="15">C35</f>
        <v>BXX Wet Well 1 Level High Alarm Delay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</row>
    <row r="36" spans="1:64" x14ac:dyDescent="0.25">
      <c r="A36" s="4" t="str">
        <f>$A$3&amp;"_AI_CV"</f>
        <v>BXX_WW01_LI1_AI_CV</v>
      </c>
      <c r="B36" s="4" t="str">
        <f t="shared" si="10"/>
        <v>BXX_WW01_LI1</v>
      </c>
      <c r="C36" s="4" t="str">
        <f>$C$3 &amp; " Current Value"</f>
        <v>BXX Wet Well 1 Level Current Value</v>
      </c>
      <c r="D36" s="2">
        <f t="shared" si="11"/>
        <v>34</v>
      </c>
      <c r="E36" t="s">
        <v>13</v>
      </c>
      <c r="F36" t="s">
        <v>14</v>
      </c>
      <c r="G36">
        <v>0</v>
      </c>
      <c r="H36" t="s">
        <v>13</v>
      </c>
      <c r="I36" t="s">
        <v>14</v>
      </c>
      <c r="J36">
        <v>0</v>
      </c>
      <c r="K36">
        <v>0</v>
      </c>
      <c r="L36" s="3" t="s">
        <v>122</v>
      </c>
      <c r="M36" s="4">
        <f t="shared" si="12"/>
        <v>0</v>
      </c>
      <c r="N36" s="3">
        <v>0</v>
      </c>
      <c r="O36" s="5">
        <v>100</v>
      </c>
      <c r="P36">
        <v>0</v>
      </c>
      <c r="Q36" s="4">
        <f>(O36-N36)*0.01</f>
        <v>1</v>
      </c>
      <c r="R36" t="s">
        <v>54</v>
      </c>
      <c r="S36">
        <v>0</v>
      </c>
      <c r="T36">
        <v>1</v>
      </c>
      <c r="U36" t="s">
        <v>54</v>
      </c>
      <c r="V36">
        <v>0</v>
      </c>
      <c r="W36">
        <v>1</v>
      </c>
      <c r="X36" t="s">
        <v>54</v>
      </c>
      <c r="Y36">
        <v>0</v>
      </c>
      <c r="Z36">
        <v>1</v>
      </c>
      <c r="AA36" t="s">
        <v>54</v>
      </c>
      <c r="AB36">
        <v>0</v>
      </c>
      <c r="AC36">
        <v>1</v>
      </c>
      <c r="AD36" t="s">
        <v>54</v>
      </c>
      <c r="AE36">
        <v>0</v>
      </c>
      <c r="AF36">
        <v>1</v>
      </c>
      <c r="AG36" t="s">
        <v>54</v>
      </c>
      <c r="AH36">
        <v>0</v>
      </c>
      <c r="AI36">
        <v>1</v>
      </c>
      <c r="AJ36">
        <v>0</v>
      </c>
      <c r="AK36" t="s">
        <v>54</v>
      </c>
      <c r="AL36">
        <v>0</v>
      </c>
      <c r="AM36">
        <v>1</v>
      </c>
      <c r="AN36" t="s">
        <v>107</v>
      </c>
      <c r="AO36" s="4">
        <f t="shared" si="13"/>
        <v>0</v>
      </c>
      <c r="AP36" s="4">
        <f t="shared" si="13"/>
        <v>100</v>
      </c>
      <c r="AQ36" t="s">
        <v>108</v>
      </c>
      <c r="AR36" s="4" t="str">
        <f t="shared" si="14"/>
        <v>BXX</v>
      </c>
      <c r="AS36" t="s">
        <v>14</v>
      </c>
      <c r="AT36" s="4" t="str">
        <f>$A$3&amp;".AI_CV"</f>
        <v>BXX_WW01_LI1.AI_CV</v>
      </c>
      <c r="AU36" t="s">
        <v>14</v>
      </c>
      <c r="AV36" s="4" t="str">
        <f t="shared" si="15"/>
        <v>BXX Wet Well 1 Level Current Value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</row>
    <row r="37" spans="1:64" x14ac:dyDescent="0.25">
      <c r="A37" s="4" t="str">
        <f>$A$3&amp;"_AO_XM"</f>
        <v>BXX_WW01_LI1_AO_XM</v>
      </c>
      <c r="B37" s="4" t="str">
        <f t="shared" si="10"/>
        <v>BXX_WW01_LI1</v>
      </c>
      <c r="C37" s="4" t="str">
        <f>$C$3 &amp; " Span Setpoint"</f>
        <v>BXX Wet Well 1 Level Span Setpoint</v>
      </c>
      <c r="D37" s="2">
        <f t="shared" si="11"/>
        <v>34</v>
      </c>
      <c r="E37" t="s">
        <v>14</v>
      </c>
      <c r="F37" t="s">
        <v>13</v>
      </c>
      <c r="G37">
        <v>900</v>
      </c>
      <c r="H37" t="s">
        <v>13</v>
      </c>
      <c r="I37" t="s">
        <v>14</v>
      </c>
      <c r="J37">
        <v>0</v>
      </c>
      <c r="K37">
        <v>0</v>
      </c>
      <c r="L37" s="4" t="str">
        <f>$L$36</f>
        <v>%</v>
      </c>
      <c r="M37" s="4">
        <f t="shared" si="12"/>
        <v>0</v>
      </c>
      <c r="N37" s="4">
        <f>$N$36</f>
        <v>0</v>
      </c>
      <c r="O37" s="5">
        <f>$O$36</f>
        <v>100</v>
      </c>
      <c r="P37">
        <v>0</v>
      </c>
      <c r="Q37">
        <v>0</v>
      </c>
      <c r="R37" t="s">
        <v>54</v>
      </c>
      <c r="S37">
        <v>0</v>
      </c>
      <c r="T37">
        <v>1</v>
      </c>
      <c r="U37" t="s">
        <v>54</v>
      </c>
      <c r="V37">
        <v>0</v>
      </c>
      <c r="W37">
        <v>1</v>
      </c>
      <c r="X37" t="s">
        <v>54</v>
      </c>
      <c r="Y37">
        <v>0</v>
      </c>
      <c r="Z37">
        <v>1</v>
      </c>
      <c r="AA37" t="s">
        <v>54</v>
      </c>
      <c r="AB37">
        <v>0</v>
      </c>
      <c r="AC37">
        <v>1</v>
      </c>
      <c r="AD37" t="s">
        <v>54</v>
      </c>
      <c r="AE37">
        <v>0</v>
      </c>
      <c r="AF37">
        <v>1</v>
      </c>
      <c r="AG37" t="s">
        <v>54</v>
      </c>
      <c r="AH37">
        <v>0</v>
      </c>
      <c r="AI37">
        <v>1</v>
      </c>
      <c r="AJ37">
        <v>0</v>
      </c>
      <c r="AK37" t="s">
        <v>54</v>
      </c>
      <c r="AL37">
        <v>0</v>
      </c>
      <c r="AM37">
        <v>1</v>
      </c>
      <c r="AN37" t="s">
        <v>107</v>
      </c>
      <c r="AO37" s="4">
        <f t="shared" si="13"/>
        <v>0</v>
      </c>
      <c r="AP37" s="4">
        <f t="shared" si="13"/>
        <v>100</v>
      </c>
      <c r="AQ37" t="s">
        <v>108</v>
      </c>
      <c r="AR37" s="4" t="str">
        <f t="shared" si="14"/>
        <v>BXX</v>
      </c>
      <c r="AS37" t="s">
        <v>14</v>
      </c>
      <c r="AT37" s="4" t="str">
        <f>$A$3&amp;".AO_XM"</f>
        <v>BXX_WW01_LI1.AO_XM</v>
      </c>
      <c r="AU37" t="s">
        <v>14</v>
      </c>
      <c r="AV37" s="4" t="str">
        <f t="shared" si="15"/>
        <v>BXX Wet Well 1 Level Span Setpoint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</row>
    <row r="38" spans="1:64" x14ac:dyDescent="0.25">
      <c r="A38" s="4" t="str">
        <f>$A$3&amp;"_AO_LO"</f>
        <v>BXX_WW01_LI1_AO_LO</v>
      </c>
      <c r="B38" s="4" t="str">
        <f t="shared" si="10"/>
        <v>BXX_WW01_LI1</v>
      </c>
      <c r="C38" s="4" t="str">
        <f>$C$3 &amp; " Low Setpoint"</f>
        <v>BXX Wet Well 1 Level Low Setpoint</v>
      </c>
      <c r="D38" s="2">
        <f t="shared" si="11"/>
        <v>33</v>
      </c>
      <c r="E38" t="s">
        <v>14</v>
      </c>
      <c r="F38" t="s">
        <v>13</v>
      </c>
      <c r="G38" s="5">
        <v>900</v>
      </c>
      <c r="H38" t="s">
        <v>13</v>
      </c>
      <c r="I38" t="s">
        <v>14</v>
      </c>
      <c r="J38">
        <v>0</v>
      </c>
      <c r="K38">
        <v>0</v>
      </c>
      <c r="L38" s="4" t="str">
        <f>$L$36</f>
        <v>%</v>
      </c>
      <c r="M38" s="4">
        <f t="shared" si="12"/>
        <v>0</v>
      </c>
      <c r="N38" s="4">
        <f>$N$36</f>
        <v>0</v>
      </c>
      <c r="O38" s="5">
        <f>$O$36</f>
        <v>100</v>
      </c>
      <c r="P38">
        <v>0</v>
      </c>
      <c r="Q38">
        <v>0</v>
      </c>
      <c r="R38" t="s">
        <v>54</v>
      </c>
      <c r="S38">
        <v>0</v>
      </c>
      <c r="T38">
        <v>1</v>
      </c>
      <c r="U38" t="s">
        <v>54</v>
      </c>
      <c r="V38">
        <v>0</v>
      </c>
      <c r="W38">
        <v>1</v>
      </c>
      <c r="X38" t="s">
        <v>54</v>
      </c>
      <c r="Y38">
        <v>0</v>
      </c>
      <c r="Z38">
        <v>1</v>
      </c>
      <c r="AA38" t="s">
        <v>54</v>
      </c>
      <c r="AB38">
        <v>0</v>
      </c>
      <c r="AC38">
        <v>1</v>
      </c>
      <c r="AD38" t="s">
        <v>54</v>
      </c>
      <c r="AE38">
        <v>0</v>
      </c>
      <c r="AF38">
        <v>1</v>
      </c>
      <c r="AG38" t="s">
        <v>54</v>
      </c>
      <c r="AH38">
        <v>0</v>
      </c>
      <c r="AI38">
        <v>1</v>
      </c>
      <c r="AJ38">
        <v>0</v>
      </c>
      <c r="AK38" t="s">
        <v>54</v>
      </c>
      <c r="AL38">
        <v>0</v>
      </c>
      <c r="AM38">
        <v>1</v>
      </c>
      <c r="AN38" t="s">
        <v>107</v>
      </c>
      <c r="AO38" s="4">
        <f t="shared" si="13"/>
        <v>0</v>
      </c>
      <c r="AP38" s="4">
        <f t="shared" si="13"/>
        <v>100</v>
      </c>
      <c r="AQ38" t="s">
        <v>108</v>
      </c>
      <c r="AR38" s="4" t="str">
        <f t="shared" si="14"/>
        <v>BXX</v>
      </c>
      <c r="AS38" t="s">
        <v>14</v>
      </c>
      <c r="AT38" s="4" t="str">
        <f>$A$3&amp;".AO_LO"</f>
        <v>BXX_WW01_LI1.AO_LO</v>
      </c>
      <c r="AU38" t="s">
        <v>14</v>
      </c>
      <c r="AV38" s="4" t="str">
        <f t="shared" si="15"/>
        <v>BXX Wet Well 1 Level Low Setpoint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</row>
    <row r="39" spans="1:64" x14ac:dyDescent="0.25">
      <c r="A39" s="4" t="str">
        <f>$A$3&amp;"_AO_HH"</f>
        <v>BXX_WW01_LI1_AO_HH</v>
      </c>
      <c r="B39" s="4" t="str">
        <f t="shared" si="10"/>
        <v>BXX_WW01_LI1</v>
      </c>
      <c r="C39" s="4" t="str">
        <f>$C$3 &amp; " HIHI Setpoint"</f>
        <v>BXX Wet Well 1 Level HIHI Setpoint</v>
      </c>
      <c r="D39" s="2">
        <f t="shared" si="11"/>
        <v>34</v>
      </c>
      <c r="E39" t="s">
        <v>14</v>
      </c>
      <c r="F39" t="s">
        <v>13</v>
      </c>
      <c r="G39" s="5">
        <v>900</v>
      </c>
      <c r="H39" t="s">
        <v>13</v>
      </c>
      <c r="I39" t="s">
        <v>14</v>
      </c>
      <c r="J39">
        <v>0</v>
      </c>
      <c r="K39">
        <v>0</v>
      </c>
      <c r="L39" s="4" t="str">
        <f>$L$36</f>
        <v>%</v>
      </c>
      <c r="M39" s="4">
        <f t="shared" si="12"/>
        <v>0</v>
      </c>
      <c r="N39" s="4">
        <f>$N$36</f>
        <v>0</v>
      </c>
      <c r="O39" s="5">
        <f>$O$36</f>
        <v>100</v>
      </c>
      <c r="P39">
        <v>0</v>
      </c>
      <c r="Q39">
        <v>0</v>
      </c>
      <c r="R39" t="s">
        <v>54</v>
      </c>
      <c r="S39">
        <v>0</v>
      </c>
      <c r="T39">
        <v>1</v>
      </c>
      <c r="U39" t="s">
        <v>54</v>
      </c>
      <c r="V39">
        <v>0</v>
      </c>
      <c r="W39">
        <v>1</v>
      </c>
      <c r="X39" t="s">
        <v>54</v>
      </c>
      <c r="Y39">
        <v>0</v>
      </c>
      <c r="Z39">
        <v>1</v>
      </c>
      <c r="AA39" t="s">
        <v>54</v>
      </c>
      <c r="AB39">
        <v>0</v>
      </c>
      <c r="AC39">
        <v>1</v>
      </c>
      <c r="AD39" t="s">
        <v>54</v>
      </c>
      <c r="AE39">
        <v>0</v>
      </c>
      <c r="AF39">
        <v>1</v>
      </c>
      <c r="AG39" t="s">
        <v>54</v>
      </c>
      <c r="AH39">
        <v>0</v>
      </c>
      <c r="AI39">
        <v>1</v>
      </c>
      <c r="AJ39">
        <v>0</v>
      </c>
      <c r="AK39" t="s">
        <v>54</v>
      </c>
      <c r="AL39">
        <v>0</v>
      </c>
      <c r="AM39">
        <v>1</v>
      </c>
      <c r="AN39" t="s">
        <v>107</v>
      </c>
      <c r="AO39" s="4">
        <f t="shared" si="13"/>
        <v>0</v>
      </c>
      <c r="AP39" s="4">
        <f t="shared" si="13"/>
        <v>100</v>
      </c>
      <c r="AQ39" t="s">
        <v>108</v>
      </c>
      <c r="AR39" s="4" t="str">
        <f t="shared" si="14"/>
        <v>BXX</v>
      </c>
      <c r="AS39" t="s">
        <v>14</v>
      </c>
      <c r="AT39" s="4" t="str">
        <f>$A$3&amp;".AO_HH"</f>
        <v>BXX_WW01_LI1.AO_HH</v>
      </c>
      <c r="AU39" t="s">
        <v>14</v>
      </c>
      <c r="AV39" s="4" t="str">
        <f t="shared" si="15"/>
        <v>BXX Wet Well 1 Level HIHI Setpoint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</row>
    <row r="40" spans="1:64" x14ac:dyDescent="0.25">
      <c r="A40" s="4" t="str">
        <f>$A$3&amp;"_E2_CV"</f>
        <v>BXX_WW01_LI1_E2_CV</v>
      </c>
      <c r="B40" s="4" t="str">
        <f t="shared" si="10"/>
        <v>BXX_WW01_LI1</v>
      </c>
      <c r="C40" s="4" t="str">
        <f>$C$3 &amp; " Units 2"</f>
        <v>BXX Wet Well 1 Level Units 2</v>
      </c>
      <c r="D40" s="2">
        <f t="shared" si="11"/>
        <v>28</v>
      </c>
      <c r="E40" t="s">
        <v>14</v>
      </c>
      <c r="F40" t="s">
        <v>14</v>
      </c>
      <c r="G40">
        <v>0</v>
      </c>
      <c r="H40" t="s">
        <v>13</v>
      </c>
      <c r="I40" t="s">
        <v>14</v>
      </c>
      <c r="J40">
        <v>0</v>
      </c>
      <c r="K40">
        <v>0</v>
      </c>
      <c r="L40" s="3" t="s">
        <v>170</v>
      </c>
      <c r="M40" s="4">
        <f t="shared" si="12"/>
        <v>0</v>
      </c>
      <c r="N40" s="3">
        <v>0</v>
      </c>
      <c r="O40" s="3">
        <v>6.5</v>
      </c>
      <c r="P40">
        <v>0</v>
      </c>
      <c r="Q40">
        <v>0</v>
      </c>
      <c r="R40" t="s">
        <v>54</v>
      </c>
      <c r="S40">
        <v>0</v>
      </c>
      <c r="T40">
        <v>1</v>
      </c>
      <c r="U40" t="s">
        <v>54</v>
      </c>
      <c r="V40">
        <v>0</v>
      </c>
      <c r="W40">
        <v>1</v>
      </c>
      <c r="X40" t="s">
        <v>54</v>
      </c>
      <c r="Y40">
        <v>0</v>
      </c>
      <c r="Z40">
        <v>1</v>
      </c>
      <c r="AA40" t="s">
        <v>54</v>
      </c>
      <c r="AB40">
        <v>0</v>
      </c>
      <c r="AC40">
        <v>1</v>
      </c>
      <c r="AD40" t="s">
        <v>54</v>
      </c>
      <c r="AE40">
        <v>0</v>
      </c>
      <c r="AF40">
        <v>1</v>
      </c>
      <c r="AG40" t="s">
        <v>54</v>
      </c>
      <c r="AH40">
        <v>0</v>
      </c>
      <c r="AI40">
        <v>1</v>
      </c>
      <c r="AJ40">
        <v>0</v>
      </c>
      <c r="AK40" t="s">
        <v>54</v>
      </c>
      <c r="AL40">
        <v>0</v>
      </c>
      <c r="AM40">
        <v>1</v>
      </c>
      <c r="AN40" t="s">
        <v>107</v>
      </c>
      <c r="AO40" s="4">
        <f t="shared" si="13"/>
        <v>0</v>
      </c>
      <c r="AP40" s="4">
        <f t="shared" si="13"/>
        <v>6.5</v>
      </c>
      <c r="AQ40" t="s">
        <v>108</v>
      </c>
      <c r="AR40" s="4" t="str">
        <f t="shared" si="14"/>
        <v>BXX</v>
      </c>
      <c r="AS40" t="s">
        <v>14</v>
      </c>
      <c r="AT40" s="4" t="str">
        <f>$A$3&amp;".E2_CV"</f>
        <v>BXX_WW01_LI1.E2_CV</v>
      </c>
      <c r="AU40" t="s">
        <v>14</v>
      </c>
      <c r="AV40" s="4" t="str">
        <f t="shared" si="15"/>
        <v>BXX Wet Well 1 Level Units 2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</row>
    <row r="41" spans="1:64" x14ac:dyDescent="0.25">
      <c r="A41" s="4" t="str">
        <f>$A$3&amp;"_AO_HI"</f>
        <v>BXX_WW01_LI1_AO_HI</v>
      </c>
      <c r="B41" s="4" t="str">
        <f t="shared" si="10"/>
        <v>BXX_WW01_LI1</v>
      </c>
      <c r="C41" s="4" t="str">
        <f>$C$3 &amp; " High Setpoint"</f>
        <v>BXX Wet Well 1 Level High Setpoint</v>
      </c>
      <c r="D41" s="2">
        <f t="shared" si="11"/>
        <v>34</v>
      </c>
      <c r="E41" t="s">
        <v>14</v>
      </c>
      <c r="F41" t="s">
        <v>13</v>
      </c>
      <c r="G41" s="5">
        <v>900</v>
      </c>
      <c r="H41" t="s">
        <v>13</v>
      </c>
      <c r="I41" t="s">
        <v>14</v>
      </c>
      <c r="J41">
        <v>0</v>
      </c>
      <c r="K41">
        <v>0</v>
      </c>
      <c r="L41" s="4" t="str">
        <f>$L$36</f>
        <v>%</v>
      </c>
      <c r="M41" s="4">
        <f t="shared" si="12"/>
        <v>0</v>
      </c>
      <c r="N41" s="4">
        <f>$N$36</f>
        <v>0</v>
      </c>
      <c r="O41" s="5">
        <f>$O$36</f>
        <v>100</v>
      </c>
      <c r="P41">
        <v>0</v>
      </c>
      <c r="Q41">
        <v>0</v>
      </c>
      <c r="R41" t="s">
        <v>54</v>
      </c>
      <c r="S41">
        <v>0</v>
      </c>
      <c r="T41">
        <v>1</v>
      </c>
      <c r="U41" t="s">
        <v>54</v>
      </c>
      <c r="V41">
        <v>0</v>
      </c>
      <c r="W41">
        <v>1</v>
      </c>
      <c r="X41" t="s">
        <v>54</v>
      </c>
      <c r="Y41">
        <v>0</v>
      </c>
      <c r="Z41">
        <v>1</v>
      </c>
      <c r="AA41" t="s">
        <v>54</v>
      </c>
      <c r="AB41">
        <v>0</v>
      </c>
      <c r="AC41">
        <v>1</v>
      </c>
      <c r="AD41" t="s">
        <v>54</v>
      </c>
      <c r="AE41">
        <v>0</v>
      </c>
      <c r="AF41">
        <v>1</v>
      </c>
      <c r="AG41" t="s">
        <v>54</v>
      </c>
      <c r="AH41">
        <v>0</v>
      </c>
      <c r="AI41">
        <v>1</v>
      </c>
      <c r="AJ41">
        <v>0</v>
      </c>
      <c r="AK41" t="s">
        <v>54</v>
      </c>
      <c r="AL41">
        <v>0</v>
      </c>
      <c r="AM41">
        <v>1</v>
      </c>
      <c r="AN41" t="s">
        <v>107</v>
      </c>
      <c r="AO41" s="4">
        <f t="shared" si="13"/>
        <v>0</v>
      </c>
      <c r="AP41" s="4">
        <f t="shared" si="13"/>
        <v>100</v>
      </c>
      <c r="AQ41" t="s">
        <v>108</v>
      </c>
      <c r="AR41" s="4" t="str">
        <f t="shared" si="14"/>
        <v>BXX</v>
      </c>
      <c r="AS41" t="s">
        <v>14</v>
      </c>
      <c r="AT41" s="4" t="str">
        <f>$A$3&amp;".AO_HI"</f>
        <v>BXX_WW01_LI1.AO_HI</v>
      </c>
      <c r="AU41" t="s">
        <v>14</v>
      </c>
      <c r="AV41" s="4" t="str">
        <f t="shared" si="15"/>
        <v>BXX Wet Well 1 Level High Setpoint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</row>
    <row r="42" spans="1:64" x14ac:dyDescent="0.25">
      <c r="A42" s="4" t="str">
        <f>$A$3&amp;"_AO_SV"</f>
        <v>BXX_WW01_LI1_AO_SV</v>
      </c>
      <c r="B42" s="4" t="str">
        <f t="shared" si="10"/>
        <v>BXX_WW01_LI1</v>
      </c>
      <c r="C42" s="4" t="str">
        <f>$C$3 &amp; " Override Value"</f>
        <v>BXX Wet Well 1 Level Override Value</v>
      </c>
      <c r="D42" s="2">
        <f t="shared" si="11"/>
        <v>35</v>
      </c>
      <c r="E42" t="s">
        <v>14</v>
      </c>
      <c r="F42" t="s">
        <v>13</v>
      </c>
      <c r="G42" s="5">
        <v>900</v>
      </c>
      <c r="H42" t="s">
        <v>13</v>
      </c>
      <c r="I42" t="s">
        <v>14</v>
      </c>
      <c r="J42">
        <v>0</v>
      </c>
      <c r="K42">
        <v>0</v>
      </c>
      <c r="L42" s="4" t="str">
        <f>$L$36</f>
        <v>%</v>
      </c>
      <c r="M42" s="4">
        <f t="shared" si="12"/>
        <v>0</v>
      </c>
      <c r="N42" s="4">
        <f>$N$36</f>
        <v>0</v>
      </c>
      <c r="O42" s="5">
        <f>$O$36</f>
        <v>100</v>
      </c>
      <c r="P42">
        <v>0</v>
      </c>
      <c r="Q42">
        <v>0</v>
      </c>
      <c r="R42" t="s">
        <v>54</v>
      </c>
      <c r="S42">
        <v>0</v>
      </c>
      <c r="T42">
        <v>1</v>
      </c>
      <c r="U42" t="s">
        <v>54</v>
      </c>
      <c r="V42">
        <v>0</v>
      </c>
      <c r="W42">
        <v>1</v>
      </c>
      <c r="X42" t="s">
        <v>54</v>
      </c>
      <c r="Y42">
        <v>0</v>
      </c>
      <c r="Z42">
        <v>1</v>
      </c>
      <c r="AA42" t="s">
        <v>54</v>
      </c>
      <c r="AB42">
        <v>0</v>
      </c>
      <c r="AC42">
        <v>1</v>
      </c>
      <c r="AD42" t="s">
        <v>54</v>
      </c>
      <c r="AE42">
        <v>0</v>
      </c>
      <c r="AF42">
        <v>1</v>
      </c>
      <c r="AG42" t="s">
        <v>54</v>
      </c>
      <c r="AH42">
        <v>0</v>
      </c>
      <c r="AI42">
        <v>1</v>
      </c>
      <c r="AJ42">
        <v>0</v>
      </c>
      <c r="AK42" t="s">
        <v>54</v>
      </c>
      <c r="AL42">
        <v>0</v>
      </c>
      <c r="AM42">
        <v>1</v>
      </c>
      <c r="AN42" t="s">
        <v>107</v>
      </c>
      <c r="AO42" s="4">
        <f t="shared" si="13"/>
        <v>0</v>
      </c>
      <c r="AP42" s="4">
        <f t="shared" si="13"/>
        <v>100</v>
      </c>
      <c r="AQ42" t="s">
        <v>108</v>
      </c>
      <c r="AR42" s="4" t="str">
        <f t="shared" si="14"/>
        <v>BXX</v>
      </c>
      <c r="AS42" t="s">
        <v>14</v>
      </c>
      <c r="AT42" s="4" t="str">
        <f>$A$3&amp;".AO_SV"</f>
        <v>BXX_WW01_LI1.AO_SV</v>
      </c>
      <c r="AU42" t="s">
        <v>14</v>
      </c>
      <c r="AV42" s="4" t="str">
        <f t="shared" si="15"/>
        <v>BXX Wet Well 1 Level Override Value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4" t="str">
        <f>$A$3&amp;"_AO_EM"</f>
        <v>BXX_WW01_LI1_AO_EM</v>
      </c>
      <c r="B43" s="4" t="str">
        <f t="shared" si="10"/>
        <v>BXX_WW01_LI1</v>
      </c>
      <c r="C43" s="4" t="str">
        <f>$C$3 &amp; " Zero Setpoint"</f>
        <v>BXX Wet Well 1 Level Zero Setpoint</v>
      </c>
      <c r="D43" s="2">
        <f t="shared" si="11"/>
        <v>34</v>
      </c>
      <c r="E43" t="s">
        <v>14</v>
      </c>
      <c r="F43" t="s">
        <v>13</v>
      </c>
      <c r="G43">
        <v>900</v>
      </c>
      <c r="H43" t="s">
        <v>13</v>
      </c>
      <c r="I43" t="s">
        <v>14</v>
      </c>
      <c r="J43">
        <v>0</v>
      </c>
      <c r="K43">
        <v>0</v>
      </c>
      <c r="L43" s="4" t="str">
        <f>$L$36</f>
        <v>%</v>
      </c>
      <c r="M43" s="4">
        <f t="shared" si="12"/>
        <v>0</v>
      </c>
      <c r="N43" s="4">
        <f>$N$36</f>
        <v>0</v>
      </c>
      <c r="O43" s="5">
        <f>$O$36</f>
        <v>100</v>
      </c>
      <c r="P43">
        <v>0</v>
      </c>
      <c r="Q43">
        <v>0</v>
      </c>
      <c r="R43" t="s">
        <v>54</v>
      </c>
      <c r="S43">
        <v>0</v>
      </c>
      <c r="T43">
        <v>1</v>
      </c>
      <c r="U43" t="s">
        <v>54</v>
      </c>
      <c r="V43">
        <v>0</v>
      </c>
      <c r="W43">
        <v>1</v>
      </c>
      <c r="X43" t="s">
        <v>54</v>
      </c>
      <c r="Y43">
        <v>0</v>
      </c>
      <c r="Z43">
        <v>1</v>
      </c>
      <c r="AA43" t="s">
        <v>54</v>
      </c>
      <c r="AB43">
        <v>0</v>
      </c>
      <c r="AC43">
        <v>1</v>
      </c>
      <c r="AD43" t="s">
        <v>54</v>
      </c>
      <c r="AE43">
        <v>0</v>
      </c>
      <c r="AF43">
        <v>1</v>
      </c>
      <c r="AG43" t="s">
        <v>54</v>
      </c>
      <c r="AH43">
        <v>0</v>
      </c>
      <c r="AI43">
        <v>1</v>
      </c>
      <c r="AJ43">
        <v>0</v>
      </c>
      <c r="AK43" t="s">
        <v>54</v>
      </c>
      <c r="AL43">
        <v>0</v>
      </c>
      <c r="AM43">
        <v>1</v>
      </c>
      <c r="AN43" t="s">
        <v>107</v>
      </c>
      <c r="AO43" s="4">
        <f t="shared" si="13"/>
        <v>0</v>
      </c>
      <c r="AP43" s="4">
        <f t="shared" si="13"/>
        <v>100</v>
      </c>
      <c r="AQ43" t="s">
        <v>108</v>
      </c>
      <c r="AR43" s="4" t="str">
        <f t="shared" si="14"/>
        <v>BXX</v>
      </c>
      <c r="AS43" t="s">
        <v>14</v>
      </c>
      <c r="AT43" s="4" t="str">
        <f>$A$3&amp;".AO_EM"</f>
        <v>BXX_WW01_LI1.AO_EM</v>
      </c>
      <c r="AU43" t="s">
        <v>14</v>
      </c>
      <c r="AV43" s="4" t="str">
        <f t="shared" si="15"/>
        <v>BXX Wet Well 1 Level Zero Setpoint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4" t="str">
        <f>$A$3&amp;"_SN_HH"</f>
        <v>BXX_WW01_LI1_SN_HH</v>
      </c>
      <c r="B44" s="4" t="str">
        <f t="shared" si="10"/>
        <v>BXX_WW01_LI1</v>
      </c>
      <c r="C44" s="4" t="str">
        <f>$C$3 &amp; " HIHI Alarm Delay"</f>
        <v>BXX Wet Well 1 Level HIHI Alarm Delay</v>
      </c>
      <c r="D44" s="2">
        <f t="shared" si="11"/>
        <v>37</v>
      </c>
      <c r="E44" t="s">
        <v>14</v>
      </c>
      <c r="F44" t="s">
        <v>13</v>
      </c>
      <c r="G44" s="5">
        <v>900</v>
      </c>
      <c r="H44" t="s">
        <v>13</v>
      </c>
      <c r="I44" t="s">
        <v>14</v>
      </c>
      <c r="J44">
        <v>0</v>
      </c>
      <c r="K44">
        <v>0</v>
      </c>
      <c r="L44" t="s">
        <v>109</v>
      </c>
      <c r="M44" s="4">
        <f t="shared" si="12"/>
        <v>0</v>
      </c>
      <c r="N44">
        <v>0</v>
      </c>
      <c r="O44">
        <v>999</v>
      </c>
      <c r="P44">
        <v>0</v>
      </c>
      <c r="Q44">
        <v>0</v>
      </c>
      <c r="R44" t="s">
        <v>54</v>
      </c>
      <c r="S44">
        <v>0</v>
      </c>
      <c r="T44">
        <v>1</v>
      </c>
      <c r="U44" t="s">
        <v>54</v>
      </c>
      <c r="V44">
        <v>0</v>
      </c>
      <c r="W44">
        <v>1</v>
      </c>
      <c r="X44" t="s">
        <v>54</v>
      </c>
      <c r="Y44">
        <v>0</v>
      </c>
      <c r="Z44">
        <v>1</v>
      </c>
      <c r="AA44" t="s">
        <v>54</v>
      </c>
      <c r="AB44">
        <v>0</v>
      </c>
      <c r="AC44">
        <v>1</v>
      </c>
      <c r="AD44" t="s">
        <v>54</v>
      </c>
      <c r="AE44">
        <v>0</v>
      </c>
      <c r="AF44">
        <v>1</v>
      </c>
      <c r="AG44" t="s">
        <v>54</v>
      </c>
      <c r="AH44">
        <v>0</v>
      </c>
      <c r="AI44">
        <v>1</v>
      </c>
      <c r="AJ44">
        <v>0</v>
      </c>
      <c r="AK44" t="s">
        <v>54</v>
      </c>
      <c r="AL44">
        <v>0</v>
      </c>
      <c r="AM44">
        <v>1</v>
      </c>
      <c r="AN44" t="s">
        <v>107</v>
      </c>
      <c r="AO44" s="4">
        <f t="shared" si="13"/>
        <v>0</v>
      </c>
      <c r="AP44" s="4">
        <f t="shared" si="13"/>
        <v>999</v>
      </c>
      <c r="AQ44" t="s">
        <v>108</v>
      </c>
      <c r="AR44" s="4" t="str">
        <f t="shared" si="14"/>
        <v>BXX</v>
      </c>
      <c r="AS44" t="s">
        <v>14</v>
      </c>
      <c r="AT44" s="4" t="str">
        <f>$A$3&amp;".SN_HH"</f>
        <v>BXX_WW01_LI1.SN_HH</v>
      </c>
      <c r="AU44" t="s">
        <v>14</v>
      </c>
      <c r="AV44" s="4" t="str">
        <f t="shared" si="15"/>
        <v>BXX Wet Well 1 Level HIHI Alarm Delay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4" t="str">
        <f>$A$3&amp;"_SN_LO"</f>
        <v>BXX_WW01_LI1_SN_LO</v>
      </c>
      <c r="B45" s="4" t="str">
        <f t="shared" si="10"/>
        <v>BXX_WW01_LI1</v>
      </c>
      <c r="C45" s="4" t="str">
        <f>$C$3 &amp; " Low Alarm Delay"</f>
        <v>BXX Wet Well 1 Level Low Alarm Delay</v>
      </c>
      <c r="D45" s="2">
        <f t="shared" si="11"/>
        <v>36</v>
      </c>
      <c r="E45" t="s">
        <v>14</v>
      </c>
      <c r="F45" t="s">
        <v>13</v>
      </c>
      <c r="G45" s="5">
        <v>900</v>
      </c>
      <c r="H45" t="s">
        <v>13</v>
      </c>
      <c r="I45" t="s">
        <v>14</v>
      </c>
      <c r="J45">
        <v>0</v>
      </c>
      <c r="K45">
        <v>0</v>
      </c>
      <c r="L45" t="s">
        <v>109</v>
      </c>
      <c r="M45" s="4">
        <f t="shared" si="12"/>
        <v>0</v>
      </c>
      <c r="N45">
        <v>0</v>
      </c>
      <c r="O45">
        <v>999</v>
      </c>
      <c r="P45">
        <v>0</v>
      </c>
      <c r="Q45">
        <v>0</v>
      </c>
      <c r="R45" t="s">
        <v>54</v>
      </c>
      <c r="S45">
        <v>0</v>
      </c>
      <c r="T45">
        <v>1</v>
      </c>
      <c r="U45" t="s">
        <v>54</v>
      </c>
      <c r="V45">
        <v>0</v>
      </c>
      <c r="W45">
        <v>1</v>
      </c>
      <c r="X45" t="s">
        <v>54</v>
      </c>
      <c r="Y45">
        <v>0</v>
      </c>
      <c r="Z45">
        <v>1</v>
      </c>
      <c r="AA45" t="s">
        <v>54</v>
      </c>
      <c r="AB45">
        <v>0</v>
      </c>
      <c r="AC45">
        <v>1</v>
      </c>
      <c r="AD45" t="s">
        <v>54</v>
      </c>
      <c r="AE45">
        <v>0</v>
      </c>
      <c r="AF45">
        <v>1</v>
      </c>
      <c r="AG45" t="s">
        <v>54</v>
      </c>
      <c r="AH45">
        <v>0</v>
      </c>
      <c r="AI45">
        <v>1</v>
      </c>
      <c r="AJ45">
        <v>0</v>
      </c>
      <c r="AK45" t="s">
        <v>54</v>
      </c>
      <c r="AL45">
        <v>0</v>
      </c>
      <c r="AM45">
        <v>1</v>
      </c>
      <c r="AN45" t="s">
        <v>107</v>
      </c>
      <c r="AO45" s="4">
        <f t="shared" si="13"/>
        <v>0</v>
      </c>
      <c r="AP45" s="4">
        <f t="shared" si="13"/>
        <v>999</v>
      </c>
      <c r="AQ45" t="s">
        <v>108</v>
      </c>
      <c r="AR45" s="4" t="str">
        <f t="shared" si="14"/>
        <v>BXX</v>
      </c>
      <c r="AS45" t="s">
        <v>14</v>
      </c>
      <c r="AT45" s="4" t="str">
        <f>$A$3&amp;".SN_LO"</f>
        <v>BXX_WW01_LI1.SN_LO</v>
      </c>
      <c r="AU45" t="s">
        <v>14</v>
      </c>
      <c r="AV45" s="4" t="str">
        <f t="shared" si="15"/>
        <v>BXX Wet Well 1 Level Low Alarm Delay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4" t="str">
        <f>$A$3&amp;"_AO_LL"</f>
        <v>BXX_WW01_LI1_AO_LL</v>
      </c>
      <c r="B46" s="4" t="str">
        <f t="shared" si="10"/>
        <v>BXX_WW01_LI1</v>
      </c>
      <c r="C46" s="4" t="str">
        <f>$C$3 &amp; " LOLO Setpoint"</f>
        <v>BXX Wet Well 1 Level LOLO Setpoint</v>
      </c>
      <c r="D46" s="2">
        <f t="shared" si="11"/>
        <v>34</v>
      </c>
      <c r="E46" t="s">
        <v>14</v>
      </c>
      <c r="F46" t="s">
        <v>13</v>
      </c>
      <c r="G46" s="5">
        <v>900</v>
      </c>
      <c r="H46" t="s">
        <v>13</v>
      </c>
      <c r="I46" t="s">
        <v>14</v>
      </c>
      <c r="J46">
        <v>0</v>
      </c>
      <c r="K46">
        <v>0</v>
      </c>
      <c r="L46" s="4" t="str">
        <f t="shared" ref="L46" si="16">$L$36</f>
        <v>%</v>
      </c>
      <c r="M46" s="4">
        <f t="shared" si="12"/>
        <v>0</v>
      </c>
      <c r="N46" s="4">
        <f t="shared" ref="N46" si="17">$N$36</f>
        <v>0</v>
      </c>
      <c r="O46" s="5">
        <f t="shared" ref="O46" si="18">$O$36</f>
        <v>100</v>
      </c>
      <c r="P46">
        <v>0</v>
      </c>
      <c r="Q46">
        <v>0</v>
      </c>
      <c r="R46" t="s">
        <v>54</v>
      </c>
      <c r="S46">
        <v>0</v>
      </c>
      <c r="T46">
        <v>1</v>
      </c>
      <c r="U46" t="s">
        <v>54</v>
      </c>
      <c r="V46">
        <v>0</v>
      </c>
      <c r="W46">
        <v>1</v>
      </c>
      <c r="X46" t="s">
        <v>54</v>
      </c>
      <c r="Y46">
        <v>0</v>
      </c>
      <c r="Z46">
        <v>1</v>
      </c>
      <c r="AA46" t="s">
        <v>54</v>
      </c>
      <c r="AB46">
        <v>0</v>
      </c>
      <c r="AC46">
        <v>1</v>
      </c>
      <c r="AD46" t="s">
        <v>54</v>
      </c>
      <c r="AE46">
        <v>0</v>
      </c>
      <c r="AF46">
        <v>1</v>
      </c>
      <c r="AG46" t="s">
        <v>54</v>
      </c>
      <c r="AH46">
        <v>0</v>
      </c>
      <c r="AI46">
        <v>1</v>
      </c>
      <c r="AJ46">
        <v>0</v>
      </c>
      <c r="AK46" t="s">
        <v>54</v>
      </c>
      <c r="AL46">
        <v>0</v>
      </c>
      <c r="AM46">
        <v>1</v>
      </c>
      <c r="AN46" t="s">
        <v>107</v>
      </c>
      <c r="AO46" s="4">
        <f t="shared" si="13"/>
        <v>0</v>
      </c>
      <c r="AP46" s="4">
        <f t="shared" si="13"/>
        <v>100</v>
      </c>
      <c r="AQ46" t="s">
        <v>108</v>
      </c>
      <c r="AR46" s="4" t="str">
        <f t="shared" si="14"/>
        <v>BXX</v>
      </c>
      <c r="AS46" t="s">
        <v>14</v>
      </c>
      <c r="AT46" s="4" t="str">
        <f>$A$3&amp;".AO_LL"</f>
        <v>BXX_WW01_LI1.AO_LL</v>
      </c>
      <c r="AU46" t="s">
        <v>14</v>
      </c>
      <c r="AV46" s="4" t="str">
        <f t="shared" si="15"/>
        <v>BXX Wet Well 1 Level LOLO Setpoint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</row>
    <row r="47" spans="1:64" x14ac:dyDescent="0.25">
      <c r="A47" t="s">
        <v>123</v>
      </c>
      <c r="B47" t="s">
        <v>16</v>
      </c>
      <c r="C47" t="s">
        <v>17</v>
      </c>
      <c r="E47" t="s">
        <v>39</v>
      </c>
      <c r="F47" t="s">
        <v>18</v>
      </c>
      <c r="G47" t="s">
        <v>19</v>
      </c>
      <c r="H47" t="s">
        <v>40</v>
      </c>
      <c r="I47" t="s">
        <v>124</v>
      </c>
      <c r="J47" t="s">
        <v>125</v>
      </c>
      <c r="K47" t="s">
        <v>51</v>
      </c>
      <c r="L47" t="s">
        <v>53</v>
      </c>
    </row>
    <row r="48" spans="1:64" x14ac:dyDescent="0.25">
      <c r="A48" s="4" t="str">
        <f>$A$3&amp;"_DI_NM"</f>
        <v>BXX_WW01_LI1_DI_NM</v>
      </c>
      <c r="B48" s="4" t="str">
        <f t="shared" si="10"/>
        <v>BXX_WW01_LI1</v>
      </c>
      <c r="C48" s="4" t="str">
        <f t="shared" si="10"/>
        <v>BXX_WW01_LI1</v>
      </c>
      <c r="D48" s="2">
        <f t="shared" si="11"/>
        <v>12</v>
      </c>
      <c r="E48" t="s">
        <v>14</v>
      </c>
      <c r="F48" t="s">
        <v>14</v>
      </c>
      <c r="G48">
        <v>0</v>
      </c>
      <c r="H48" t="s">
        <v>13</v>
      </c>
      <c r="I48">
        <v>24</v>
      </c>
      <c r="J48" t="s">
        <v>116</v>
      </c>
      <c r="K48" t="s">
        <v>116</v>
      </c>
      <c r="L48" t="s">
        <v>13</v>
      </c>
    </row>
    <row r="49" spans="1:16" x14ac:dyDescent="0.25">
      <c r="A49" t="s">
        <v>126</v>
      </c>
      <c r="B49" t="s">
        <v>127</v>
      </c>
      <c r="C49" t="s">
        <v>128</v>
      </c>
      <c r="D49" s="2">
        <f t="shared" si="11"/>
        <v>20</v>
      </c>
      <c r="E49" t="s">
        <v>14</v>
      </c>
      <c r="F49" t="s">
        <v>14</v>
      </c>
      <c r="G49">
        <v>0</v>
      </c>
      <c r="H49" t="s">
        <v>14</v>
      </c>
      <c r="I49">
        <v>131</v>
      </c>
    </row>
    <row r="50" spans="1:16" x14ac:dyDescent="0.25">
      <c r="A50" t="s">
        <v>604</v>
      </c>
      <c r="B50" t="s">
        <v>127</v>
      </c>
      <c r="C50" t="s">
        <v>129</v>
      </c>
      <c r="D50" s="2">
        <f t="shared" si="11"/>
        <v>32</v>
      </c>
      <c r="E50" t="s">
        <v>14</v>
      </c>
      <c r="F50" t="s">
        <v>14</v>
      </c>
      <c r="G50">
        <v>0</v>
      </c>
      <c r="H50" t="s">
        <v>14</v>
      </c>
      <c r="I50">
        <v>131</v>
      </c>
    </row>
    <row r="51" spans="1:16" x14ac:dyDescent="0.25">
      <c r="A51" t="s">
        <v>130</v>
      </c>
      <c r="B51" t="s">
        <v>16</v>
      </c>
      <c r="C51" t="s">
        <v>17</v>
      </c>
      <c r="D51" s="2">
        <f t="shared" si="11"/>
        <v>7</v>
      </c>
      <c r="E51" t="s">
        <v>39</v>
      </c>
      <c r="F51" t="s">
        <v>18</v>
      </c>
      <c r="G51" t="s">
        <v>19</v>
      </c>
      <c r="H51" t="s">
        <v>40</v>
      </c>
      <c r="I51" t="s">
        <v>124</v>
      </c>
      <c r="J51" t="s">
        <v>125</v>
      </c>
      <c r="K51" t="s">
        <v>47</v>
      </c>
      <c r="L51" t="s">
        <v>48</v>
      </c>
      <c r="M51" t="s">
        <v>49</v>
      </c>
      <c r="N51" t="s">
        <v>50</v>
      </c>
      <c r="O51" t="s">
        <v>51</v>
      </c>
      <c r="P51" t="s">
        <v>53</v>
      </c>
    </row>
    <row r="52" spans="1:16" x14ac:dyDescent="0.25">
      <c r="A52" s="4" t="str">
        <f>$A$3&amp;"_PB_HH_RN"</f>
        <v>BXX_WW01_LI1_PB_HH_RN</v>
      </c>
      <c r="B52" s="4" t="str">
        <f>$A$3</f>
        <v>BXX_WW01_LI1</v>
      </c>
      <c r="C52" s="4" t="str">
        <f>$C$3 &amp; " HIHI Alarm Dis Reason"</f>
        <v>BXX Wet Well 1 Level HIHI Alarm Dis Reason</v>
      </c>
      <c r="D52" s="2">
        <f t="shared" si="11"/>
        <v>42</v>
      </c>
      <c r="E52" t="s">
        <v>14</v>
      </c>
      <c r="F52" t="s">
        <v>14</v>
      </c>
      <c r="G52">
        <v>0</v>
      </c>
      <c r="H52" t="s">
        <v>13</v>
      </c>
      <c r="I52">
        <v>131</v>
      </c>
      <c r="J52" t="s">
        <v>131</v>
      </c>
      <c r="K52" s="5" t="s">
        <v>630</v>
      </c>
      <c r="L52" t="s">
        <v>13</v>
      </c>
      <c r="M52" s="4" t="str">
        <f>A52</f>
        <v>BXX_WW01_LI1_PB_HH_RN</v>
      </c>
      <c r="N52" t="s">
        <v>14</v>
      </c>
      <c r="O52" s="4" t="str">
        <f>C52</f>
        <v>BXX Wet Well 1 Level HIHI Alarm Dis Reason</v>
      </c>
    </row>
    <row r="53" spans="1:16" x14ac:dyDescent="0.25">
      <c r="A53" s="4" t="str">
        <f>$A$3&amp;"_PB_LL_RN"</f>
        <v>BXX_WW01_LI1_PB_LL_RN</v>
      </c>
      <c r="B53" s="4" t="str">
        <f t="shared" ref="B53:B54" si="19">$A$3</f>
        <v>BXX_WW01_LI1</v>
      </c>
      <c r="C53" s="4" t="str">
        <f>$C$3 &amp; " LOLO Alarm Dis Reason"</f>
        <v>BXX Wet Well 1 Level LOLO Alarm Dis Reason</v>
      </c>
      <c r="D53" s="2">
        <f t="shared" si="11"/>
        <v>42</v>
      </c>
      <c r="E53" t="s">
        <v>14</v>
      </c>
      <c r="F53" t="s">
        <v>14</v>
      </c>
      <c r="G53">
        <v>0</v>
      </c>
      <c r="H53" t="s">
        <v>13</v>
      </c>
      <c r="I53">
        <v>131</v>
      </c>
      <c r="J53" t="s">
        <v>131</v>
      </c>
      <c r="K53" s="5" t="str">
        <f>$K$52</f>
        <v>BXXCPU01_1</v>
      </c>
      <c r="L53" t="s">
        <v>13</v>
      </c>
      <c r="M53" s="4" t="str">
        <f t="shared" ref="M53:M54" si="20">A53</f>
        <v>BXX_WW01_LI1_PB_LL_RN</v>
      </c>
      <c r="N53" t="s">
        <v>14</v>
      </c>
      <c r="O53" s="4" t="str">
        <f t="shared" ref="O53:O54" si="21">C53</f>
        <v>BXX Wet Well 1 Level LOLO Alarm Dis Reason</v>
      </c>
    </row>
    <row r="54" spans="1:16" x14ac:dyDescent="0.25">
      <c r="A54" s="4" t="str">
        <f>$A$3&amp;"_PB_ER_RN"</f>
        <v>BXX_WW01_LI1_PB_ER_RN</v>
      </c>
      <c r="B54" s="4" t="str">
        <f t="shared" si="19"/>
        <v>BXX_WW01_LI1</v>
      </c>
      <c r="C54" s="4" t="str">
        <f>$C$3 &amp; " Sig Error Dis Reason"</f>
        <v>BXX Wet Well 1 Level Sig Error Dis Reason</v>
      </c>
      <c r="D54" s="2">
        <f t="shared" si="11"/>
        <v>41</v>
      </c>
      <c r="E54" t="s">
        <v>14</v>
      </c>
      <c r="F54" t="s">
        <v>14</v>
      </c>
      <c r="G54">
        <v>0</v>
      </c>
      <c r="H54" t="s">
        <v>13</v>
      </c>
      <c r="I54">
        <v>131</v>
      </c>
      <c r="J54" t="s">
        <v>131</v>
      </c>
      <c r="K54" s="5" t="str">
        <f>$K$52</f>
        <v>BXXCPU01_1</v>
      </c>
      <c r="L54" t="s">
        <v>13</v>
      </c>
      <c r="M54" s="4" t="str">
        <f t="shared" si="20"/>
        <v>BXX_WW01_LI1_PB_ER_RN</v>
      </c>
      <c r="N54" t="s">
        <v>14</v>
      </c>
      <c r="O54" s="4" t="str">
        <f t="shared" si="21"/>
        <v>BXX Wet Well 1 Level Sig Error Dis Reason</v>
      </c>
    </row>
    <row r="55" spans="1:16" x14ac:dyDescent="0.25">
      <c r="A55" t="s">
        <v>560</v>
      </c>
      <c r="B55" t="s">
        <v>16</v>
      </c>
      <c r="C55" t="s">
        <v>17</v>
      </c>
      <c r="D55" s="2">
        <f t="shared" si="11"/>
        <v>7</v>
      </c>
      <c r="E55" t="s">
        <v>18</v>
      </c>
      <c r="F55" t="s">
        <v>19</v>
      </c>
      <c r="G55" t="s">
        <v>40</v>
      </c>
      <c r="H55" t="s">
        <v>53</v>
      </c>
    </row>
    <row r="56" spans="1:16" x14ac:dyDescent="0.25">
      <c r="A56" t="s">
        <v>458</v>
      </c>
      <c r="B56" t="s">
        <v>127</v>
      </c>
      <c r="C56" t="s">
        <v>132</v>
      </c>
      <c r="D56" s="2">
        <f t="shared" si="11"/>
        <v>44</v>
      </c>
      <c r="E56" t="s">
        <v>14</v>
      </c>
      <c r="F56">
        <v>0</v>
      </c>
      <c r="G56" t="s">
        <v>14</v>
      </c>
    </row>
    <row r="57" spans="1:16" x14ac:dyDescent="0.25">
      <c r="A57" t="s">
        <v>459</v>
      </c>
      <c r="B57" t="s">
        <v>127</v>
      </c>
      <c r="C57" t="s">
        <v>133</v>
      </c>
      <c r="D57" s="2">
        <f t="shared" si="11"/>
        <v>41</v>
      </c>
      <c r="E57" t="s">
        <v>14</v>
      </c>
      <c r="F57">
        <v>0</v>
      </c>
      <c r="G57" t="s">
        <v>14</v>
      </c>
    </row>
    <row r="58" spans="1:16" x14ac:dyDescent="0.25">
      <c r="A58" t="s">
        <v>460</v>
      </c>
      <c r="B58" t="s">
        <v>127</v>
      </c>
      <c r="C58" t="s">
        <v>134</v>
      </c>
      <c r="D58" s="2">
        <f t="shared" si="11"/>
        <v>39</v>
      </c>
      <c r="E58" t="s">
        <v>14</v>
      </c>
      <c r="F58">
        <v>0</v>
      </c>
      <c r="G58" t="s">
        <v>14</v>
      </c>
    </row>
    <row r="59" spans="1:16" x14ac:dyDescent="0.25">
      <c r="A59" t="s">
        <v>461</v>
      </c>
      <c r="B59" t="s">
        <v>127</v>
      </c>
      <c r="C59" t="s">
        <v>135</v>
      </c>
      <c r="D59" s="2">
        <f t="shared" si="11"/>
        <v>39</v>
      </c>
      <c r="E59" t="s">
        <v>14</v>
      </c>
      <c r="F59">
        <v>0</v>
      </c>
      <c r="G59" t="s">
        <v>14</v>
      </c>
    </row>
    <row r="60" spans="1:16" x14ac:dyDescent="0.25">
      <c r="A60" t="s">
        <v>462</v>
      </c>
      <c r="B60" t="s">
        <v>127</v>
      </c>
      <c r="C60" t="s">
        <v>136</v>
      </c>
      <c r="D60" s="2">
        <f t="shared" si="11"/>
        <v>41</v>
      </c>
      <c r="E60" t="s">
        <v>14</v>
      </c>
      <c r="F60">
        <v>0</v>
      </c>
      <c r="G60" t="s">
        <v>14</v>
      </c>
    </row>
    <row r="61" spans="1:16" x14ac:dyDescent="0.25">
      <c r="A61" t="s">
        <v>463</v>
      </c>
      <c r="B61" t="s">
        <v>127</v>
      </c>
      <c r="C61" t="s">
        <v>137</v>
      </c>
      <c r="D61" s="2">
        <f t="shared" si="11"/>
        <v>49</v>
      </c>
      <c r="E61" t="s">
        <v>14</v>
      </c>
      <c r="F61">
        <v>0</v>
      </c>
      <c r="G61" t="s">
        <v>14</v>
      </c>
    </row>
    <row r="62" spans="1:16" x14ac:dyDescent="0.25">
      <c r="A62" t="s">
        <v>464</v>
      </c>
      <c r="B62" t="s">
        <v>127</v>
      </c>
      <c r="C62" t="s">
        <v>138</v>
      </c>
      <c r="D62" s="2">
        <f t="shared" si="11"/>
        <v>35</v>
      </c>
      <c r="E62" t="s">
        <v>14</v>
      </c>
      <c r="F62">
        <v>0</v>
      </c>
      <c r="G62" t="s">
        <v>14</v>
      </c>
    </row>
    <row r="63" spans="1:16" x14ac:dyDescent="0.25">
      <c r="A63" t="s">
        <v>465</v>
      </c>
      <c r="B63" t="s">
        <v>127</v>
      </c>
      <c r="C63" t="s">
        <v>139</v>
      </c>
      <c r="D63" s="2">
        <f t="shared" si="11"/>
        <v>39</v>
      </c>
      <c r="E63" t="s">
        <v>14</v>
      </c>
      <c r="F63">
        <v>0</v>
      </c>
      <c r="G63" t="s">
        <v>14</v>
      </c>
    </row>
    <row r="64" spans="1:16" x14ac:dyDescent="0.25">
      <c r="A64" t="s">
        <v>487</v>
      </c>
      <c r="B64" t="s">
        <v>127</v>
      </c>
      <c r="C64" t="s">
        <v>140</v>
      </c>
      <c r="D64" s="2">
        <f t="shared" si="11"/>
        <v>42</v>
      </c>
      <c r="E64" t="s">
        <v>14</v>
      </c>
      <c r="F64">
        <v>0</v>
      </c>
      <c r="G64" t="s">
        <v>14</v>
      </c>
    </row>
    <row r="65" spans="1:8" x14ac:dyDescent="0.25">
      <c r="A65" t="s">
        <v>426</v>
      </c>
      <c r="B65" t="s">
        <v>127</v>
      </c>
      <c r="C65" t="s">
        <v>141</v>
      </c>
      <c r="D65" s="2">
        <f t="shared" si="11"/>
        <v>31</v>
      </c>
      <c r="E65" t="s">
        <v>14</v>
      </c>
      <c r="F65">
        <v>0</v>
      </c>
      <c r="G65" t="s">
        <v>14</v>
      </c>
    </row>
    <row r="66" spans="1:8" x14ac:dyDescent="0.25">
      <c r="A66" t="s">
        <v>466</v>
      </c>
      <c r="B66" t="s">
        <v>127</v>
      </c>
      <c r="C66" t="s">
        <v>142</v>
      </c>
      <c r="D66" s="2">
        <f t="shared" si="11"/>
        <v>41</v>
      </c>
      <c r="E66" t="s">
        <v>14</v>
      </c>
      <c r="F66">
        <v>0</v>
      </c>
      <c r="G66" t="s">
        <v>14</v>
      </c>
    </row>
    <row r="67" spans="1:8" x14ac:dyDescent="0.25">
      <c r="A67" t="s">
        <v>467</v>
      </c>
      <c r="B67" t="s">
        <v>127</v>
      </c>
      <c r="C67" t="s">
        <v>143</v>
      </c>
      <c r="D67" s="2">
        <f t="shared" si="11"/>
        <v>47</v>
      </c>
      <c r="E67" t="s">
        <v>14</v>
      </c>
      <c r="F67">
        <v>0</v>
      </c>
      <c r="G67" t="s">
        <v>14</v>
      </c>
    </row>
    <row r="68" spans="1:8" x14ac:dyDescent="0.25">
      <c r="A68" t="s">
        <v>468</v>
      </c>
      <c r="B68" t="s">
        <v>127</v>
      </c>
      <c r="C68" t="s">
        <v>144</v>
      </c>
      <c r="D68" s="2">
        <f t="shared" si="11"/>
        <v>30</v>
      </c>
      <c r="E68" t="s">
        <v>14</v>
      </c>
      <c r="F68">
        <v>0</v>
      </c>
      <c r="G68" t="s">
        <v>14</v>
      </c>
    </row>
    <row r="69" spans="1:8" x14ac:dyDescent="0.25">
      <c r="A69" t="s">
        <v>145</v>
      </c>
      <c r="B69" t="s">
        <v>16</v>
      </c>
      <c r="C69" t="s">
        <v>17</v>
      </c>
      <c r="D69" s="2">
        <f t="shared" si="11"/>
        <v>7</v>
      </c>
      <c r="E69" t="s">
        <v>18</v>
      </c>
      <c r="F69" t="s">
        <v>19</v>
      </c>
      <c r="G69" t="s">
        <v>40</v>
      </c>
      <c r="H69" t="s">
        <v>53</v>
      </c>
    </row>
    <row r="70" spans="1:8" x14ac:dyDescent="0.25">
      <c r="A70" t="s">
        <v>493</v>
      </c>
      <c r="B70" t="s">
        <v>127</v>
      </c>
      <c r="C70" t="s">
        <v>146</v>
      </c>
      <c r="D70" s="2">
        <f t="shared" si="11"/>
        <v>49</v>
      </c>
      <c r="E70" t="s">
        <v>14</v>
      </c>
      <c r="F70">
        <v>0</v>
      </c>
      <c r="G70" t="s">
        <v>14</v>
      </c>
    </row>
    <row r="71" spans="1:8" x14ac:dyDescent="0.25">
      <c r="A71" t="s">
        <v>494</v>
      </c>
      <c r="B71" t="s">
        <v>127</v>
      </c>
      <c r="C71" t="s">
        <v>147</v>
      </c>
      <c r="D71" s="2">
        <f t="shared" si="11"/>
        <v>41</v>
      </c>
      <c r="E71" t="s">
        <v>14</v>
      </c>
      <c r="F71">
        <v>0</v>
      </c>
      <c r="G71" t="s">
        <v>14</v>
      </c>
    </row>
    <row r="72" spans="1:8" x14ac:dyDescent="0.25">
      <c r="A72" t="s">
        <v>499</v>
      </c>
      <c r="B72" t="s">
        <v>127</v>
      </c>
      <c r="C72" t="s">
        <v>148</v>
      </c>
      <c r="D72" s="2">
        <f t="shared" si="11"/>
        <v>37</v>
      </c>
      <c r="E72" t="s">
        <v>14</v>
      </c>
      <c r="F72">
        <v>0</v>
      </c>
      <c r="G72" t="s">
        <v>14</v>
      </c>
    </row>
    <row r="73" spans="1:8" x14ac:dyDescent="0.25">
      <c r="A73" t="s">
        <v>495</v>
      </c>
      <c r="B73" t="s">
        <v>127</v>
      </c>
      <c r="C73" t="s">
        <v>149</v>
      </c>
      <c r="D73" s="2">
        <f t="shared" si="11"/>
        <v>28</v>
      </c>
      <c r="E73" t="s">
        <v>14</v>
      </c>
      <c r="F73">
        <v>0</v>
      </c>
      <c r="G73" t="s">
        <v>14</v>
      </c>
    </row>
    <row r="74" spans="1:8" x14ac:dyDescent="0.25">
      <c r="A74" t="s">
        <v>496</v>
      </c>
      <c r="B74" t="s">
        <v>127</v>
      </c>
      <c r="C74" t="s">
        <v>150</v>
      </c>
      <c r="D74" s="2">
        <f t="shared" si="11"/>
        <v>26</v>
      </c>
      <c r="E74" t="s">
        <v>14</v>
      </c>
      <c r="F74">
        <v>0</v>
      </c>
      <c r="G74" t="s">
        <v>14</v>
      </c>
    </row>
    <row r="75" spans="1:8" x14ac:dyDescent="0.25">
      <c r="A75" t="s">
        <v>497</v>
      </c>
      <c r="B75" t="s">
        <v>127</v>
      </c>
      <c r="C75" t="s">
        <v>151</v>
      </c>
      <c r="D75" s="2">
        <f t="shared" si="11"/>
        <v>28</v>
      </c>
      <c r="E75" t="s">
        <v>14</v>
      </c>
      <c r="F75">
        <v>0</v>
      </c>
      <c r="G75" t="s">
        <v>14</v>
      </c>
    </row>
    <row r="76" spans="1:8" x14ac:dyDescent="0.25">
      <c r="A76" t="s">
        <v>498</v>
      </c>
      <c r="B76" t="s">
        <v>127</v>
      </c>
      <c r="C76" t="s">
        <v>152</v>
      </c>
      <c r="D76" s="2">
        <f t="shared" si="11"/>
        <v>26</v>
      </c>
      <c r="E76" t="s">
        <v>14</v>
      </c>
      <c r="F76">
        <v>0</v>
      </c>
      <c r="G76" t="s">
        <v>14</v>
      </c>
    </row>
    <row r="77" spans="1:8" x14ac:dyDescent="0.25">
      <c r="A77" t="s">
        <v>595</v>
      </c>
      <c r="B77" t="s">
        <v>127</v>
      </c>
      <c r="C77" t="s">
        <v>153</v>
      </c>
      <c r="D77" s="2">
        <f t="shared" si="11"/>
        <v>39</v>
      </c>
      <c r="E77" t="s">
        <v>14</v>
      </c>
      <c r="F77">
        <v>0</v>
      </c>
      <c r="G77" t="s">
        <v>14</v>
      </c>
    </row>
    <row r="78" spans="1:8" x14ac:dyDescent="0.25">
      <c r="A78" t="s">
        <v>596</v>
      </c>
      <c r="B78" t="s">
        <v>127</v>
      </c>
      <c r="C78" t="s">
        <v>154</v>
      </c>
      <c r="D78" s="2">
        <f t="shared" si="11"/>
        <v>37</v>
      </c>
      <c r="E78" t="s">
        <v>14</v>
      </c>
      <c r="F78">
        <v>0</v>
      </c>
      <c r="G78" t="s">
        <v>14</v>
      </c>
    </row>
    <row r="79" spans="1:8" x14ac:dyDescent="0.25">
      <c r="A79" t="s">
        <v>597</v>
      </c>
      <c r="B79" t="s">
        <v>127</v>
      </c>
      <c r="C79" t="s">
        <v>155</v>
      </c>
      <c r="D79" s="2">
        <f t="shared" si="11"/>
        <v>37</v>
      </c>
      <c r="E79" t="s">
        <v>14</v>
      </c>
      <c r="F79">
        <v>0</v>
      </c>
      <c r="G79" t="s">
        <v>14</v>
      </c>
    </row>
    <row r="80" spans="1:8" x14ac:dyDescent="0.25">
      <c r="A80" t="s">
        <v>598</v>
      </c>
      <c r="B80" t="s">
        <v>127</v>
      </c>
      <c r="C80" t="s">
        <v>156</v>
      </c>
      <c r="D80" s="2">
        <f t="shared" si="11"/>
        <v>39</v>
      </c>
      <c r="E80" t="s">
        <v>14</v>
      </c>
      <c r="F80">
        <v>0</v>
      </c>
      <c r="G80" t="s">
        <v>14</v>
      </c>
    </row>
    <row r="81" spans="1:8" x14ac:dyDescent="0.25">
      <c r="A81" t="s">
        <v>599</v>
      </c>
      <c r="B81" t="s">
        <v>127</v>
      </c>
      <c r="C81" t="s">
        <v>157</v>
      </c>
      <c r="D81" s="2">
        <f t="shared" si="11"/>
        <v>44</v>
      </c>
      <c r="E81" t="s">
        <v>14</v>
      </c>
      <c r="F81">
        <v>0</v>
      </c>
      <c r="G81" t="s">
        <v>14</v>
      </c>
    </row>
    <row r="82" spans="1:8" x14ac:dyDescent="0.25">
      <c r="A82" t="s">
        <v>600</v>
      </c>
      <c r="B82" t="s">
        <v>127</v>
      </c>
      <c r="C82" t="s">
        <v>158</v>
      </c>
      <c r="D82" s="2">
        <f t="shared" si="11"/>
        <v>44</v>
      </c>
      <c r="E82" t="s">
        <v>14</v>
      </c>
      <c r="F82">
        <v>0</v>
      </c>
      <c r="G82" t="s">
        <v>14</v>
      </c>
    </row>
    <row r="83" spans="1:8" x14ac:dyDescent="0.25">
      <c r="A83" t="s">
        <v>601</v>
      </c>
      <c r="B83" t="s">
        <v>127</v>
      </c>
      <c r="C83" t="s">
        <v>159</v>
      </c>
      <c r="D83" s="2">
        <f t="shared" si="11"/>
        <v>38</v>
      </c>
      <c r="E83" t="s">
        <v>14</v>
      </c>
      <c r="F83">
        <v>0</v>
      </c>
      <c r="G83" t="s">
        <v>14</v>
      </c>
    </row>
    <row r="84" spans="1:8" x14ac:dyDescent="0.25">
      <c r="A84" t="s">
        <v>602</v>
      </c>
      <c r="B84" t="s">
        <v>127</v>
      </c>
      <c r="C84" t="s">
        <v>160</v>
      </c>
      <c r="D84" s="2">
        <f t="shared" si="11"/>
        <v>37</v>
      </c>
      <c r="E84" t="s">
        <v>14</v>
      </c>
      <c r="F84">
        <v>0</v>
      </c>
      <c r="G84" t="s">
        <v>14</v>
      </c>
    </row>
    <row r="85" spans="1:8" x14ac:dyDescent="0.25">
      <c r="A85" t="s">
        <v>500</v>
      </c>
      <c r="B85" t="s">
        <v>127</v>
      </c>
      <c r="C85" t="s">
        <v>161</v>
      </c>
      <c r="D85" s="2">
        <f t="shared" si="11"/>
        <v>44</v>
      </c>
      <c r="E85" t="s">
        <v>14</v>
      </c>
      <c r="F85">
        <v>0</v>
      </c>
      <c r="G85" t="s">
        <v>14</v>
      </c>
    </row>
    <row r="86" spans="1:8" x14ac:dyDescent="0.25">
      <c r="A86" t="s">
        <v>162</v>
      </c>
      <c r="B86" t="s">
        <v>16</v>
      </c>
      <c r="C86" t="s">
        <v>17</v>
      </c>
      <c r="D86" s="2">
        <f t="shared" si="11"/>
        <v>7</v>
      </c>
      <c r="E86" t="s">
        <v>18</v>
      </c>
      <c r="F86" t="s">
        <v>19</v>
      </c>
      <c r="G86" t="s">
        <v>40</v>
      </c>
      <c r="H86" t="s">
        <v>53</v>
      </c>
    </row>
    <row r="87" spans="1:8" x14ac:dyDescent="0.25">
      <c r="A87" t="s">
        <v>163</v>
      </c>
      <c r="B87" t="s">
        <v>127</v>
      </c>
      <c r="C87" t="s">
        <v>164</v>
      </c>
      <c r="D87" s="2">
        <f t="shared" si="11"/>
        <v>38</v>
      </c>
      <c r="E87" t="s">
        <v>14</v>
      </c>
      <c r="F87">
        <v>0</v>
      </c>
      <c r="G87" t="s">
        <v>14</v>
      </c>
    </row>
    <row r="88" spans="1:8" x14ac:dyDescent="0.25">
      <c r="A88" t="s">
        <v>165</v>
      </c>
      <c r="B88" t="s">
        <v>16</v>
      </c>
      <c r="C88" t="s">
        <v>17</v>
      </c>
      <c r="D88" s="2">
        <f t="shared" si="11"/>
        <v>7</v>
      </c>
      <c r="E88" t="s">
        <v>53</v>
      </c>
    </row>
    <row r="89" spans="1:8" x14ac:dyDescent="0.25">
      <c r="A89" t="s">
        <v>166</v>
      </c>
      <c r="B89" t="s">
        <v>127</v>
      </c>
      <c r="C89" t="s">
        <v>167</v>
      </c>
      <c r="D89" s="2">
        <f t="shared" si="11"/>
        <v>29</v>
      </c>
    </row>
    <row r="90" spans="1:8" x14ac:dyDescent="0.25">
      <c r="D90" s="2">
        <f t="shared" si="11"/>
        <v>0</v>
      </c>
    </row>
  </sheetData>
  <conditionalFormatting sqref="D3:D4 D6:D27 D34:D46 D53:D90">
    <cfRule type="cellIs" dxfId="197" priority="7" operator="greaterThan">
      <formula>49</formula>
    </cfRule>
  </conditionalFormatting>
  <conditionalFormatting sqref="D30:D32">
    <cfRule type="cellIs" dxfId="196" priority="5" operator="greaterThan">
      <formula>49</formula>
    </cfRule>
  </conditionalFormatting>
  <conditionalFormatting sqref="D48:D52">
    <cfRule type="cellIs" dxfId="195" priority="3" operator="greaterThan">
      <formula>49</formula>
    </cfRule>
  </conditionalFormatting>
  <conditionalFormatting sqref="D28">
    <cfRule type="cellIs" dxfId="194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Guide</vt:lpstr>
      <vt:lpstr>BXXPLC1</vt:lpstr>
      <vt:lpstr>BXX Alarms</vt:lpstr>
      <vt:lpstr>BXX Security</vt:lpstr>
      <vt:lpstr>BXX Other Discretes</vt:lpstr>
      <vt:lpstr>BXXDIH1PI1</vt:lpstr>
      <vt:lpstr>BXXDIH1FI1</vt:lpstr>
      <vt:lpstr>BXXDF1LI1</vt:lpstr>
      <vt:lpstr>BXXWW01LI1</vt:lpstr>
      <vt:lpstr>BXXWW02LI1</vt:lpstr>
      <vt:lpstr>BXXBLS1LI1</vt:lpstr>
      <vt:lpstr>BXXBLS2LI1</vt:lpstr>
      <vt:lpstr>BXXOVF1FI1</vt:lpstr>
      <vt:lpstr>BXXSLP1II1</vt:lpstr>
      <vt:lpstr>BXXSLP2II1</vt:lpstr>
      <vt:lpstr>BXXSLP3II1</vt:lpstr>
      <vt:lpstr>BXXSLP4II1</vt:lpstr>
      <vt:lpstr>BXXSLP1DM1</vt:lpstr>
      <vt:lpstr>BXXSLP2VF1</vt:lpstr>
      <vt:lpstr>BXXSLP3DM1</vt:lpstr>
      <vt:lpstr>BXXSLP4VF1</vt:lpstr>
      <vt:lpstr>BXXGEN1DE1</vt:lpstr>
      <vt:lpstr>BXXATS1SG1</vt:lpstr>
      <vt:lpstr>BXXDTY1DP</vt:lpstr>
      <vt:lpstr>BXXDTY1LI</vt:lpstr>
    </vt:vector>
  </TitlesOfParts>
  <Company>Region of Halton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Craig, David</dc:creator>
  <cp:lastModifiedBy>Hu, David</cp:lastModifiedBy>
  <dcterms:created xsi:type="dcterms:W3CDTF">2018-02-21T15:29:24Z</dcterms:created>
  <dcterms:modified xsi:type="dcterms:W3CDTF">2022-02-24T15:16:34Z</dcterms:modified>
</cp:coreProperties>
</file>